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Igju5T3WdiYAdUUI4PK3jgs0BhPUj5IOuI9rLJfxdXdcHNFjEczjjk7Q4JjfJXs2ZeA0IC9yPsYhzpgjZvrwpA==" workbookSaltValue="GHqREDulrZV8ap0yfWlg6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P13" i="16"/>
  <c r="T18" i="17"/>
  <c r="BG15" i="13"/>
  <c r="BE15" i="13"/>
  <c r="AX20" i="20"/>
  <c r="AC19" i="8" l="1"/>
  <c r="S19" i="8"/>
  <c r="C12" i="14"/>
  <c r="K12" i="14" s="1"/>
  <c r="B13" i="2"/>
  <c r="AL16" i="11"/>
  <c r="C16" i="6"/>
  <c r="BE9" i="13"/>
  <c r="BD15" i="13"/>
  <c r="BG16"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Q16" i="11" l="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K20" i="16"/>
  <c r="AJ20" i="17"/>
  <c r="M20" i="21"/>
  <c r="E20" i="16"/>
  <c r="AJ20" i="16"/>
  <c r="F20" i="16"/>
  <c r="K20" i="17"/>
  <c r="AB20" i="16"/>
  <c r="AO20" i="16"/>
  <c r="AV20" i="17"/>
  <c r="AO20" i="11"/>
  <c r="AW20" i="21"/>
  <c r="AK20" i="17"/>
  <c r="Q20" i="16"/>
  <c r="I20" i="12"/>
  <c r="AC20" i="17"/>
  <c r="AZ20" i="11"/>
  <c r="BI20" i="16"/>
  <c r="AP20" i="21"/>
  <c r="AD20" i="11"/>
  <c r="AZ20" i="16"/>
  <c r="V20" i="16"/>
  <c r="AE20" i="21"/>
  <c r="O20" i="21"/>
  <c r="H20" i="21"/>
  <c r="J20" i="11"/>
  <c r="J20" i="17"/>
  <c r="AR20" i="20"/>
  <c r="F20" i="21"/>
  <c r="P20" i="21"/>
  <c r="AB20" i="21"/>
  <c r="AV20" i="11"/>
  <c r="P20" i="11"/>
  <c r="BJ20" i="16"/>
  <c r="AL20" i="16"/>
  <c r="E20" i="1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<sst xmlns="http://schemas.openxmlformats.org/spreadsheetml/2006/main" count="2074" uniqueCount="908">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</sst>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1</v>
      </c>
      <c r="E5" s="372"/>
      <c r="F5" s="3"/>
      <c r="H5" t="s">
        <v>420</v>
      </c>
      <c r="Q5" s="346">
        <v>3</v>
      </c>
      <c r="R5" s="346">
        <v>2</v>
      </c>
      <c r="S5" t="b">
        <f>AND(Q5&gt;=TrimIni,Q5&lt;=TrimFin)</f>
        <v>1</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mu4T5wWdVUCTunZ8u0AXKdkZR065IfA/qh9HUNYX8HNbEjWMSIBy8y9G5ferIzTccc99CdKh049A082cPmcxg==" saltValue="48fSWwDEVDGMnjDpxXFE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BADAJOZ</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6242</v>
      </c>
      <c r="D9" s="404">
        <f>IF(ISNUMBER(C9/Datos!BH9),C9/Datos!BH9," - ")</f>
        <v>1040.3333333333333</v>
      </c>
      <c r="E9" s="403">
        <f>IF(ISNUMBER(IF(J_V="SI",Datos!J9,Datos!J9+Datos!Z9)),IF(J_V="SI",Datos!J9,Datos!J9+Datos!Z9)," - ")</f>
        <v>13686</v>
      </c>
      <c r="F9" s="404">
        <f>IF(ISNUMBER(E9/B9),E9/B9," - ")</f>
        <v>1955.1428571428571</v>
      </c>
      <c r="G9" s="403">
        <f>IF(ISNUMBER(IF(J_V="SI",Datos!K9,Datos!K9+Datos!AA9)),IF(J_V="SI",Datos!K9,Datos!K9+Datos!AA9)," - ")</f>
        <v>13455</v>
      </c>
      <c r="H9" s="404">
        <f>IF(ISNUMBER(G9/B9),G9/B9," - ")</f>
        <v>1922.1428571428571</v>
      </c>
      <c r="I9" s="403">
        <f>IF(ISNUMBER(IF(J_V="SI",Datos!L9,Datos!L9+Datos!AB9)),IF(J_V="SI",Datos!L9,Datos!L9+Datos!AB9)," - ")</f>
        <v>6857</v>
      </c>
      <c r="J9" s="404">
        <f>IF(ISNUMBER(I9/B9),I9/B9," - ")</f>
        <v>979.57142857142856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107</v>
      </c>
      <c r="D10" s="404">
        <f>IF(ISNUMBER(C10/Datos!BH10),C10/Datos!BH10," - ")</f>
        <v>107</v>
      </c>
      <c r="E10" s="403">
        <f>IF(ISNUMBER(Datos!J10),Datos!J10," - ")</f>
        <v>135</v>
      </c>
      <c r="F10" s="404">
        <f>IF(ISNUMBER(E10/B10),E10/B10," - ")</f>
        <v>135</v>
      </c>
      <c r="G10" s="403">
        <f>IF(ISNUMBER(Datos!K10),Datos!K10," - ")</f>
        <v>117</v>
      </c>
      <c r="H10" s="404">
        <f>IF(ISNUMBER(G10/B10),G10/B10," - ")</f>
        <v>117</v>
      </c>
      <c r="I10" s="403">
        <f>IF(ISNUMBER(Datos!L10),Datos!L10," - ")</f>
        <v>125</v>
      </c>
      <c r="J10" s="404">
        <f>IF(ISNUMBER(I10/B10),I10/B10," - ")</f>
        <v>125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705</v>
      </c>
      <c r="D11" s="404">
        <f>IF(ISNUMBER(C11/Datos!BH11),C11/Datos!BH11," - ")</f>
        <v>705</v>
      </c>
      <c r="E11" s="403">
        <f>IF(ISNUMBER(IF(J_V="SI",Datos!J11,Datos!J11+Datos!Z11)),IF(J_V="SI",Datos!J11,Datos!J11+Datos!Z11)," - ")</f>
        <v>1225</v>
      </c>
      <c r="F11" s="404">
        <f>IF(ISNUMBER(E11/B11),E11/B11," - ")</f>
        <v>1225</v>
      </c>
      <c r="G11" s="403">
        <f>IF(ISNUMBER(IF(J_V="SI",Datos!K11,Datos!K11+Datos!AA11)),IF(J_V="SI",Datos!K11,Datos!K11+Datos!AA11)," - ")</f>
        <v>1294</v>
      </c>
      <c r="H11" s="404">
        <f>IF(ISNUMBER(G11/B11),G11/B11," - ")</f>
        <v>1294</v>
      </c>
      <c r="I11" s="403">
        <f>IF(ISNUMBER(IF(J_V="SI",Datos!L11,Datos!L11+Datos!AB11)),IF(J_V="SI",Datos!L11,Datos!L11+Datos!AB11)," - ")</f>
        <v>545</v>
      </c>
      <c r="J11" s="404">
        <f>IF(ISNUMBER(I11/B11),I11/B11," - ")</f>
        <v>545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3</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2</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7057</v>
      </c>
      <c r="D13" s="850" t="str">
        <f>IF(ISNUMBER(C13/Datos!BI13),C13/Datos!BI13," - ")</f>
        <v xml:space="preserve"> - </v>
      </c>
      <c r="E13" s="849">
        <f>SUBTOTAL(9,E8:E12)</f>
        <v>15046</v>
      </c>
      <c r="F13" s="850">
        <f>IF(ISNUMBER(E13/B13),E13/B13," - ")</f>
        <v>1671.7777777777778</v>
      </c>
      <c r="G13" s="849">
        <f>SUBTOTAL(9,G8:G12)</f>
        <v>14868</v>
      </c>
      <c r="H13" s="850">
        <f>IF(ISNUMBER(G13/B13),G13/B13," - ")</f>
        <v>1652</v>
      </c>
      <c r="I13" s="849">
        <f>SUBTOTAL(9,I8:I12)</f>
        <v>7528</v>
      </c>
      <c r="J13" s="850">
        <f>IF(ISNUMBER(I13/B13),I13/B13," - ")</f>
        <v>836.44444444444446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2386</v>
      </c>
      <c r="D15" s="404">
        <f>IF(ISNUMBER(C15/Datos!BH15),C15/Datos!BH15," - ")</f>
        <v>596.5</v>
      </c>
      <c r="E15" s="403">
        <f>IF(ISNUMBER(IF(D_I="SI",Datos!J15,Datos!J15+Datos!AD15)),IF(D_I="SI",Datos!J15,Datos!J15+Datos!AD15)," - ")</f>
        <v>10669</v>
      </c>
      <c r="F15" s="404">
        <f>IF(ISNUMBER(E15/B15),E15/B15," - ")</f>
        <v>2667.25</v>
      </c>
      <c r="G15" s="403">
        <f>IF(ISNUMBER(IF(D_I="SI",Datos!K15,Datos!K15+Datos!AE15)),IF(D_I="SI",Datos!K15,Datos!K15+Datos!AE15)," - ")</f>
        <v>10876</v>
      </c>
      <c r="H15" s="404">
        <f>IF(ISNUMBER(G15/B15),G15/B15," - ")</f>
        <v>2719</v>
      </c>
      <c r="I15" s="403">
        <f>IF(ISNUMBER(IF(D_I="SI",Datos!L15,Datos!L15+Datos!AF15)),IF(D_I="SI",Datos!L15,Datos!L15+Datos!AF15)," - ")</f>
        <v>2272</v>
      </c>
      <c r="J15" s="404">
        <f>IF(ISNUMBER(I15/B15),I15/B15," - ")</f>
        <v>568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165</v>
      </c>
      <c r="D17" s="404">
        <f>IF(ISNUMBER(C17/Datos!BH17),C17/Datos!BH17," - ")</f>
        <v>165</v>
      </c>
      <c r="E17" s="403">
        <f>IF(ISNUMBER(IF(D_I="SI",Datos!J17,Datos!J17+Datos!AD17)),IF(D_I="SI",Datos!J17,Datos!J17+Datos!AD17)," - ")</f>
        <v>920</v>
      </c>
      <c r="F17" s="404">
        <f>IF(ISNUMBER(E17/B17),E17/B17," - ")</f>
        <v>920</v>
      </c>
      <c r="G17" s="403">
        <f>IF(ISNUMBER(IF(D_I="SI",Datos!K17,Datos!K17+Datos!AE17)),IF(D_I="SI",Datos!K17,Datos!K17+Datos!AE17)," - ")</f>
        <v>927</v>
      </c>
      <c r="H17" s="404">
        <f>IF(ISNUMBER(G17/B17),G17/B17," - ")</f>
        <v>927</v>
      </c>
      <c r="I17" s="403">
        <f>IF(ISNUMBER(IF(D_I="SI",Datos!L17,Datos!L17+Datos!AF17)),IF(D_I="SI",Datos!L17,Datos!L17+Datos!AF17)," - ")</f>
        <v>167</v>
      </c>
      <c r="J17" s="404">
        <f>IF(ISNUMBER(I17/B17),I17/B17," - ")</f>
        <v>167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2551</v>
      </c>
      <c r="D18" s="850" t="str">
        <f>IF(ISNUMBER(C18/Datos!BI18),C18/Datos!BI18," - ")</f>
        <v xml:space="preserve"> - </v>
      </c>
      <c r="E18" s="849">
        <f>SUBTOTAL(9,E14:E17)</f>
        <v>11589</v>
      </c>
      <c r="F18" s="850">
        <f>IF(ISNUMBER(E18/B18),E18/B18," - ")</f>
        <v>2317.8000000000002</v>
      </c>
      <c r="G18" s="849">
        <f>SUBTOTAL(9,G14:G17)</f>
        <v>11803</v>
      </c>
      <c r="H18" s="850">
        <f>IF(ISNUMBER(G18/B18),G18/B18," - ")</f>
        <v>2360.6</v>
      </c>
      <c r="I18" s="849">
        <f>SUBTOTAL(9,I14:I17)</f>
        <v>2439</v>
      </c>
      <c r="J18" s="850">
        <f>IF(ISNUMBER(I18/B18),I18/B18," - ")</f>
        <v>487.8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9608</v>
      </c>
      <c r="D19" s="795" t="str">
        <f>IF(ISNUMBER(C19/Datos!BI19),C19/Datos!BI19," - ")</f>
        <v xml:space="preserve"> - </v>
      </c>
      <c r="E19" s="794">
        <f>SUBTOTAL(9,E9:E18)</f>
        <v>26635</v>
      </c>
      <c r="F19" s="795">
        <f>IF(ISNUMBER(E19/B19),E19/B19," - ")</f>
        <v>2048.8461538461538</v>
      </c>
      <c r="G19" s="794">
        <f>SUBTOTAL(9,G9:G18)</f>
        <v>26671</v>
      </c>
      <c r="H19" s="795">
        <f>IF(ISNUMBER(G19/B19),G19/B19," - ")</f>
        <v>2051.6153846153848</v>
      </c>
      <c r="I19" s="794">
        <f>SUBTOTAL(9,I9:I18)</f>
        <v>9967</v>
      </c>
      <c r="J19" s="795">
        <f>IF(ISNUMBER(I19/B19),I19/B19," - ")</f>
        <v>766.69230769230774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nInsxMSmdaF1q0w2KupNLSWY2BJ2pN/4HFzDc6fhvchKGvtmeM9TUomEvfdyNUFgG6GKi1M1m05RuJbkeAJww==" saltValue="sKOTWxmb4rHC4cj9fFZA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214</v>
      </c>
      <c r="B3" s="391" t="str">
        <f>Criterios!A10 &amp;"  "&amp;Criterios!B10</f>
        <v>Provincias  BADAJOZ</v>
      </c>
      <c r="C3" s="415"/>
      <c r="F3" s="375"/>
      <c r="G3" s="375"/>
      <c r="H3" s="375"/>
    </row>
    <row r="4" spans="1:15" ht="13.5" thickBot="1">
      <c r="A4" s="375"/>
      <c r="B4" s="391" t="str">
        <f>Criterios!A11 &amp;"  "&amp;Criterios!B11</f>
        <v>Resumenes por Partidos Judiciales  BADAJOZ</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1.1666666666666667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cMwozhsY8VU2pvKmmp40obsKbIXOy07IonigK/BjFvbwcqe0QgVBK1OuNK82h0esiiv+r/nA8PRmCHF3wgWSg==" saltValue="fUcemfupopNGPiFKOjyE5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BADAJOZ</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3469</v>
      </c>
      <c r="E9" s="404">
        <f t="shared" ref="E9:E13" si="0">IF(ISNUMBER(D9/B9),D9/B9," - ")</f>
        <v>495.57142857142856</v>
      </c>
      <c r="F9" s="403">
        <f>IF(ISNUMBER(Datos!N9),Datos!N9," - ")</f>
        <v>4756</v>
      </c>
      <c r="G9" s="404">
        <f t="shared" ref="G9:G13" si="1">IF(ISNUMBER(F9/B9),F9/B9," - ")</f>
        <v>679.42857142857144</v>
      </c>
      <c r="H9" s="403">
        <f>IF(ISNUMBER(Datos!O9),Datos!O9," - ")</f>
        <v>6023</v>
      </c>
      <c r="I9" s="404">
        <f>IF(ISNUMBER(H9/B9),H9/B9," - ")</f>
        <v>860.42857142857144</v>
      </c>
      <c r="BZ9" s="1186">
        <f>Datos!EZ9</f>
        <v>0</v>
      </c>
    </row>
    <row r="10" spans="1:78">
      <c r="A10" s="402" t="str">
        <f>Datos!A10</f>
        <v>Jdos. Violencia contra la mujer</v>
      </c>
      <c r="B10" s="427">
        <f>Datos!AO10</f>
        <v>1</v>
      </c>
      <c r="C10" s="410">
        <f>Datos!AQ10</f>
        <v>1</v>
      </c>
      <c r="D10" s="403">
        <f>IF(ISNUMBER(Datos!M10),Datos!M10," - ")</f>
        <v>41</v>
      </c>
      <c r="E10" s="404">
        <f>IF(ISNUMBER(D10/B10),D10/B10," - ")</f>
        <v>41</v>
      </c>
      <c r="F10" s="403">
        <f>IF(ISNUMBER(Datos!N10),Datos!N10," - ")</f>
        <v>39</v>
      </c>
      <c r="G10" s="404">
        <f>IF(ISNUMBER(F10/B10),F10/B10," - ")</f>
        <v>39</v>
      </c>
      <c r="H10" s="403">
        <f>IF(ISNUMBER(Datos!O10),Datos!O10," - ")</f>
        <v>52</v>
      </c>
      <c r="I10" s="404">
        <f t="shared" ref="I10:I12" si="2">IF(ISNUMBER(H10/B10),H10/B10," - ")</f>
        <v>52</v>
      </c>
      <c r="BZ10" s="1186">
        <f>Datos!EZ10</f>
        <v>0</v>
      </c>
    </row>
    <row r="11" spans="1:78">
      <c r="A11" s="402" t="str">
        <f>Datos!A11</f>
        <v xml:space="preserve">Jdos. Familia                                   </v>
      </c>
      <c r="B11" s="427">
        <f>Datos!AO11</f>
        <v>1</v>
      </c>
      <c r="C11" s="410">
        <f>Datos!AQ11</f>
        <v>1</v>
      </c>
      <c r="D11" s="403">
        <f>IF(ISNUMBER(Datos!M11),Datos!M11," - ")</f>
        <v>575</v>
      </c>
      <c r="E11" s="404">
        <f t="shared" si="0"/>
        <v>575</v>
      </c>
      <c r="F11" s="403">
        <f>IF(ISNUMBER(Datos!N11),Datos!N11," - ")</f>
        <v>723</v>
      </c>
      <c r="G11" s="404">
        <f t="shared" si="1"/>
        <v>723</v>
      </c>
      <c r="H11" s="403">
        <f>IF(ISNUMBER(Datos!O11),Datos!O11," - ")</f>
        <v>284</v>
      </c>
      <c r="I11" s="404">
        <f t="shared" si="2"/>
        <v>284</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2</v>
      </c>
      <c r="I12" s="404" t="str">
        <f t="shared" si="2"/>
        <v xml:space="preserve"> - </v>
      </c>
      <c r="BZ12" s="1186">
        <f>Datos!EZ12</f>
        <v>0</v>
      </c>
    </row>
    <row r="13" spans="1:78" ht="14.25" thickTop="1" thickBot="1">
      <c r="A13" s="848" t="str">
        <f>Datos!A13</f>
        <v>TOTAL</v>
      </c>
      <c r="B13" s="849">
        <f>Datos!AP13</f>
        <v>9</v>
      </c>
      <c r="C13" s="851">
        <f>Datos!AR13</f>
        <v>9</v>
      </c>
      <c r="D13" s="849">
        <f>SUBTOTAL(9,D9:D12)</f>
        <v>4085</v>
      </c>
      <c r="E13" s="850">
        <f t="shared" si="0"/>
        <v>453.88888888888891</v>
      </c>
      <c r="F13" s="849">
        <f>SUBTOTAL(9,F9:F12)</f>
        <v>5518</v>
      </c>
      <c r="G13" s="850">
        <f t="shared" si="1"/>
        <v>613.11111111111109</v>
      </c>
      <c r="H13" s="849">
        <f>SUBTOTAL(9,H9:H12)</f>
        <v>6361</v>
      </c>
      <c r="I13" s="850">
        <f>IF(ISNUMBER(H13/B13),H13/B13," - ")</f>
        <v>706.77777777777783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1204</v>
      </c>
      <c r="E15" s="404">
        <f t="shared" ref="E15:E18" si="3">IF(ISNUMBER(D15/B15),D15/B15," - ")</f>
        <v>301</v>
      </c>
      <c r="F15" s="403">
        <f>IF(ISNUMBER(Datos!N15),Datos!N15," - ")</f>
        <v>7001</v>
      </c>
      <c r="G15" s="404">
        <f t="shared" ref="G15:G18" si="4">IF(ISNUMBER(F15/B15),F15/B15," - ")</f>
        <v>1750.25</v>
      </c>
      <c r="H15" s="403">
        <f>IF(ISNUMBER(Datos!O15),Datos!O15," - ")</f>
        <v>194</v>
      </c>
      <c r="I15" s="404">
        <f t="shared" ref="I15:I17" si="5">IF(ISNUMBER(H15/B15),H15/B15," - ")</f>
        <v>48.5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178</v>
      </c>
      <c r="E17" s="404">
        <f>IF(ISNUMBER(D17/B17),D17/B17," - ")</f>
        <v>178</v>
      </c>
      <c r="F17" s="403">
        <f>IF(ISNUMBER(Datos!N17),Datos!N17," - ")</f>
        <v>661</v>
      </c>
      <c r="G17" s="404">
        <f>IF(ISNUMBER(F17/B17),F17/B17," - ")</f>
        <v>661</v>
      </c>
      <c r="H17" s="403">
        <f>IF(ISNUMBER(Datos!O17),Datos!O17," - ")</f>
        <v>22</v>
      </c>
      <c r="I17" s="404">
        <f t="shared" si="5"/>
        <v>22</v>
      </c>
      <c r="BZ17" s="1186">
        <f>Datos!EZ17</f>
        <v>0</v>
      </c>
    </row>
    <row r="18" spans="1:78" ht="14.25" thickTop="1" thickBot="1">
      <c r="A18" s="848" t="str">
        <f>Datos!A18</f>
        <v>TOTAL</v>
      </c>
      <c r="B18" s="849">
        <f>Datos!AP18</f>
        <v>5</v>
      </c>
      <c r="C18" s="851">
        <f>Datos!AR18</f>
        <v>5</v>
      </c>
      <c r="D18" s="849">
        <f>SUBTOTAL(9,D15:D17)</f>
        <v>1382</v>
      </c>
      <c r="E18" s="850">
        <f t="shared" si="3"/>
        <v>276.39999999999998</v>
      </c>
      <c r="F18" s="849">
        <f>SUBTOTAL(9,F15:F17)</f>
        <v>7662</v>
      </c>
      <c r="G18" s="850">
        <f t="shared" si="4"/>
        <v>1532.4</v>
      </c>
      <c r="H18" s="849">
        <f>SUBTOTAL(9,H15:H17)</f>
        <v>216</v>
      </c>
      <c r="I18" s="850">
        <f>IF(ISNUMBER(H18/B18),H18/B18," - ")</f>
        <v>43.2</v>
      </c>
      <c r="BZ18" s="1186"/>
    </row>
    <row r="19" spans="1:78" ht="14.25" thickTop="1" thickBot="1">
      <c r="A19" s="793" t="str">
        <f>Datos!A19</f>
        <v>TOTAL JURISDICCIONES</v>
      </c>
      <c r="B19" s="794">
        <f>Datos!AP19</f>
        <v>13</v>
      </c>
      <c r="C19" s="794">
        <f>Datos!AR19</f>
        <v>13</v>
      </c>
      <c r="D19" s="794">
        <f>SUBTOTAL(9,D8:D18)</f>
        <v>5467</v>
      </c>
      <c r="E19" s="795">
        <f>IF(ISNUMBER(D19/B19),D19/B19," - ")</f>
        <v>420.53846153846155</v>
      </c>
      <c r="F19" s="794">
        <f>SUBTOTAL(9,F8:F18)</f>
        <v>13180</v>
      </c>
      <c r="G19" s="795">
        <f>IF(ISNUMBER(F19/B19),F19/B19," - ")</f>
        <v>1013.8461538461538</v>
      </c>
      <c r="H19" s="794">
        <f>SUBTOTAL(9,H8:H18)</f>
        <v>6577</v>
      </c>
      <c r="I19" s="795">
        <f>IF(ISNUMBER(H19/B19),H19/B19," - ")</f>
        <v>505.92307692307691</v>
      </c>
    </row>
    <row r="22" spans="1:78">
      <c r="A22" s="391" t="str">
        <f>Criterios!A4</f>
        <v>Fecha Informe: 28 feb. 2025</v>
      </c>
    </row>
    <row r="27" spans="1:78">
      <c r="A27" s="414"/>
    </row>
  </sheetData>
  <sheetProtection algorithmName="SHA-512" hashValue="AzcTKTieGOT5YG4o/4jj7CS8BKv4aww+4OJZoImLeCNkpjIjqKp18elOQaQzOz94oDAGHM6ye1K05KQipMj4pQ==" saltValue="8sN4OVnLDQ8cj0adJED0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BADAJOZ</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3036</v>
      </c>
      <c r="C9" s="434">
        <f>IF(ISNUMBER(Datos!Q9),Datos!Q9," - ")</f>
        <v>2678</v>
      </c>
      <c r="D9" s="408">
        <f>IF(ISNUMBER(Datos!R9),Datos!R9," - ")</f>
        <v>8259</v>
      </c>
    </row>
    <row r="10" spans="1:4">
      <c r="A10" s="402" t="str">
        <f>Datos!A10</f>
        <v>Jdos. Violencia contra la mujer</v>
      </c>
      <c r="B10" s="433">
        <f>IF(ISNUMBER(Datos!P10),Datos!P10," - ")</f>
        <v>41</v>
      </c>
      <c r="C10" s="434">
        <f>IF(ISNUMBER(Datos!Q10),Datos!Q10," - ")</f>
        <v>37</v>
      </c>
      <c r="D10" s="408">
        <f>IF(ISNUMBER(Datos!R10),Datos!R10," - ")</f>
        <v>88</v>
      </c>
    </row>
    <row r="11" spans="1:4">
      <c r="A11" s="402" t="str">
        <f>Datos!A11</f>
        <v xml:space="preserve">Jdos. Familia                                   </v>
      </c>
      <c r="B11" s="433">
        <f>IF(ISNUMBER(Datos!P11),Datos!P11," - ")</f>
        <v>235</v>
      </c>
      <c r="C11" s="434">
        <f>IF(ISNUMBER(Datos!Q11),Datos!Q11," - ")</f>
        <v>245</v>
      </c>
      <c r="D11" s="408">
        <f>IF(ISNUMBER(Datos!R11),Datos!R11," - ")</f>
        <v>425</v>
      </c>
    </row>
    <row r="12" spans="1:4" ht="13.5" thickBot="1">
      <c r="A12" s="402" t="str">
        <f>Datos!A12</f>
        <v xml:space="preserve">Jdos. 1ª Instª. e Instr.                        </v>
      </c>
      <c r="B12" s="433">
        <f>IF(ISNUMBER(Datos!P12),Datos!P12," - ")</f>
        <v>2</v>
      </c>
      <c r="C12" s="434">
        <f>IF(ISNUMBER(Datos!Q12),Datos!Q12," - ")</f>
        <v>7</v>
      </c>
      <c r="D12" s="408">
        <f>IF(ISNUMBER(Datos!R12),Datos!R12," - ")</f>
        <v>24</v>
      </c>
    </row>
    <row r="13" spans="1:4" ht="14.25" thickTop="1" thickBot="1">
      <c r="A13" s="848" t="str">
        <f>Datos!A13</f>
        <v>TOTAL</v>
      </c>
      <c r="B13" s="849">
        <f>SUBTOTAL(9,B9:B12)</f>
        <v>3314</v>
      </c>
      <c r="C13" s="853">
        <f>SUBTOTAL(9,C9:C12)</f>
        <v>2967</v>
      </c>
      <c r="D13" s="851">
        <f>SUBTOTAL(9,D9:D12)</f>
        <v>8796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451</v>
      </c>
      <c r="C15" s="434">
        <f>IF(ISNUMBER(Datos!Q15),Datos!Q15," - ")</f>
        <v>495</v>
      </c>
      <c r="D15" s="408">
        <f>IF(ISNUMBER(Datos!R15),Datos!R15," - ")</f>
        <v>193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30</v>
      </c>
      <c r="C17" s="434">
        <f>IF(ISNUMBER(Datos!Q17),Datos!Q17," - ")</f>
        <v>32</v>
      </c>
      <c r="D17" s="408">
        <f>IF(ISNUMBER(Datos!R17),Datos!R17," - ")</f>
        <v>14</v>
      </c>
    </row>
    <row r="18" spans="1:4" ht="14.25" thickTop="1" thickBot="1">
      <c r="A18" s="848" t="str">
        <f>Datos!A18</f>
        <v>TOTAL</v>
      </c>
      <c r="B18" s="849">
        <f>SUBTOTAL(9,B15:B17)</f>
        <v>481</v>
      </c>
      <c r="C18" s="853">
        <f>SUBTOTAL(9,C15:C17)</f>
        <v>527</v>
      </c>
      <c r="D18" s="851">
        <f>SUBTOTAL(9,D15:D17)</f>
        <v>207</v>
      </c>
    </row>
    <row r="19" spans="1:4" ht="16.5" customHeight="1" thickTop="1" thickBot="1">
      <c r="A19" s="793" t="str">
        <f>Datos!A19</f>
        <v>TOTAL JURISDICCIONES</v>
      </c>
      <c r="B19" s="798">
        <f>SUBTOTAL(9,B8:B18)</f>
        <v>3795</v>
      </c>
      <c r="C19" s="799">
        <f>SUBTOTAL(9,C8:C18)</f>
        <v>3494</v>
      </c>
      <c r="D19" s="800">
        <f>SUBTOTAL(9,D8:D18)</f>
        <v>9003</v>
      </c>
    </row>
    <row r="20" spans="1:4" ht="7.5" customHeight="1"/>
    <row r="21" spans="1:4" ht="6" customHeight="1"/>
    <row r="22" spans="1:4">
      <c r="A22" s="391" t="str">
        <f>Criterios!A4</f>
        <v>Fecha Informe: 28 feb. 2025</v>
      </c>
    </row>
    <row r="27" spans="1:4">
      <c r="A27" s="414"/>
    </row>
  </sheetData>
  <sheetProtection algorithmName="SHA-512" hashValue="sdRFBhWprSgR6T5QiCDiSsX03PJoPSqdUKZnXdFUkqdZbgsKqnhmWRDaQHsOIzfXfWAXNOWi54EgnF2x7fkr9Q==" saltValue="kWWS+x2RmbT5lxP4AMRQ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BADAJOZ</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0.67345844504021446</v>
      </c>
      <c r="C9" s="456">
        <f>IF(ISNUMBER(
   IF(J_V="SI",(Datos!J9-Datos!T9)/Datos!T9,(Datos!J9+Datos!Z9-(Datos!T9+Datos!AH9))/(Datos!T9+Datos!AH9))
     ),IF(J_V="SI",(Datos!J9-Datos!T9)/Datos!T9,(Datos!J9+Datos!Z9-(Datos!T9+Datos!AH9))/(Datos!T9+Datos!AH9))," - ")</f>
        <v>0.41020092735703245</v>
      </c>
      <c r="D9" s="456">
        <f>IF(ISNUMBER(
   IF(J_V="SI",(Datos!K9-Datos!U9)/Datos!U9,(Datos!K9+Datos!AA9-(Datos!U9+Datos!AI9))/(Datos!U9+Datos!AI9))
     ),IF(J_V="SI",(Datos!K9-Datos!U9)/Datos!U9,(Datos!K9+Datos!AA9-(Datos!U9+Datos!AI9))/(Datos!U9+Datos!AI9))," - ")</f>
        <v>0.99955416852429779</v>
      </c>
      <c r="E9" s="456">
        <f>IF(ISNUMBER(
   IF(J_V="SI",(Datos!L9-Datos!V9)/Datos!V9,(Datos!L9+Datos!AB9-(Datos!V9+Datos!AJ9))/(Datos!V9+Datos!AJ9))
     ),IF(J_V="SI",(Datos!L9-Datos!V9)/Datos!V9,(Datos!L9+Datos!AB9-(Datos!V9+Datos!AJ9))/(Datos!V9+Datos!AJ9))," - ")</f>
        <v>9.8526113425184234E-2</v>
      </c>
      <c r="F9" s="456">
        <f>IF(ISNUMBER((Datos!M9-Datos!W9)/Datos!W9),(Datos!M9-Datos!W9)/Datos!W9," - ")</f>
        <v>1.3760273972602739</v>
      </c>
      <c r="G9" s="457">
        <f>IF(ISNUMBER((Datos!N9-Datos!X9)/Datos!X9),(Datos!N9-Datos!X9)/Datos!X9," - ")</f>
        <v>0.84341085271317828</v>
      </c>
      <c r="H9" s="455">
        <f>IF(ISNUMBER(((NºAsuntos!G9/NºAsuntos!E9)-Datos!BD9)/Datos!BD9),((NºAsuntos!G9/NºAsuntos!E9)-Datos!BD9)/Datos!BD9," - ")</f>
        <v>0.4179214675966908</v>
      </c>
      <c r="I9" s="456">
        <f>IF(ISNUMBER(((NºAsuntos!I9/NºAsuntos!G9)-Datos!BE9)/Datos!BE9),((NºAsuntos!I9/NºAsuntos!G9)-Datos!BE9)/Datos!BE9," - ")</f>
        <v>-0.45061447660809623</v>
      </c>
      <c r="J9" s="461">
        <f>IF(ISNUMBER((('Resol  Asuntos'!D9/NºAsuntos!G9)-Datos!BF9)/Datos!BF9),(('Resol  Asuntos'!D9/NºAsuntos!G9)-Datos!BF9)/Datos!BF9," - ")</f>
        <v>-0.32756328156732606</v>
      </c>
      <c r="K9" s="462">
        <f>IF(ISNUMBER((((NºAsuntos!C9+NºAsuntos!E9)/NºAsuntos!G9)-Datos!BG9)/Datos!BG9),(((NºAsuntos!C9+NºAsuntos!E9)/NºAsuntos!G9)-Datos!BG9)/Datos!BG9," - ")</f>
        <v>-0.25818968160418942</v>
      </c>
    </row>
    <row r="10" spans="1:11">
      <c r="A10" s="402" t="str">
        <f>Datos!A10</f>
        <v>Jdos. Violencia contra la mujer</v>
      </c>
      <c r="B10" s="455">
        <f>IF(ISNUMBER((Datos!I10-Datos!S10)/Datos!S10),(Datos!I10-Datos!S10)/Datos!S10," - ")</f>
        <v>0.50704225352112675</v>
      </c>
      <c r="C10" s="456">
        <f>IF(ISNUMBER((Datos!J10-Datos!T10)/Datos!T10),(Datos!J10-Datos!T10)/Datos!T10," - ")</f>
        <v>-0.21511627906976744</v>
      </c>
      <c r="D10" s="456">
        <f>IF(ISNUMBER((Datos!K10-Datos!U10)/Datos!U10),(Datos!K10-Datos!U10)/Datos!U10," - ")</f>
        <v>-0.13970588235294118</v>
      </c>
      <c r="E10" s="456">
        <f>IF(ISNUMBER((Datos!L10-Datos!V10)/Datos!V10),(Datos!L10-Datos!V10)/Datos!V10," - ")</f>
        <v>0.16822429906542055</v>
      </c>
      <c r="F10" s="456">
        <f>IF(ISNUMBER((Datos!M10-Datos!W10)/Datos!W10),(Datos!M10-Datos!W10)/Datos!W10," - ")</f>
        <v>-0.2807017543859649</v>
      </c>
      <c r="G10" s="457">
        <f>IF(ISNUMBER((Datos!N10-Datos!X10)/Datos!X10),(Datos!N10-Datos!X10)/Datos!X10," - ")</f>
        <v>-0.1702127659574468</v>
      </c>
      <c r="H10" s="455">
        <f>IF(ISNUMBER(((NºAsuntos!G10/NºAsuntos!E10)-Datos!BD10)/Datos!BD10),((NºAsuntos!G10/NºAsuntos!E10)-Datos!BD10)/Datos!BD10," - ")</f>
        <v>9.6078431372549108E-2</v>
      </c>
      <c r="I10" s="456">
        <f>IF(ISNUMBER(((NºAsuntos!I10/NºAsuntos!G10)-Datos!BE10)/Datos!BE10),((NºAsuntos!I10/NºAsuntos!G10)-Datos!BE10)/Datos!BE10," - ")</f>
        <v>0.35793593737518969</v>
      </c>
      <c r="J10" s="461">
        <f>IF(ISNUMBER((('Resol  Asuntos'!D10/NºAsuntos!G10)-Datos!BF10)/Datos!BF10),(('Resol  Asuntos'!D10/NºAsuntos!G10)-Datos!BF10)/Datos!BF10," - ")</f>
        <v>-0.16389263757684819</v>
      </c>
      <c r="K10" s="462">
        <f>IF(ISNUMBER((((NºAsuntos!C10+NºAsuntos!E10)/NºAsuntos!G10)-Datos!BG10)/Datos!BG10),(((NºAsuntos!C10+NºAsuntos!E10)/NºAsuntos!G10)-Datos!BG10)/Datos!BG10," - ")</f>
        <v>0.15760965143681199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0.28649635036496351</v>
      </c>
      <c r="C11" s="456">
        <f>IF(ISNUMBER(
   IF(J_V="SI",(Datos!J11-Datos!T11)/Datos!T11,(Datos!J11+Datos!Z11-(Datos!T11+Datos!AH11))/(Datos!T11+Datos!AH11))
     ),IF(J_V="SI",(Datos!J11-Datos!T11)/Datos!T11,(Datos!J11+Datos!Z11-(Datos!T11+Datos!AH11))/(Datos!T11+Datos!AH11))," - ")</f>
        <v>-2.3125996810207338E-2</v>
      </c>
      <c r="D11" s="456">
        <f>IF(ISNUMBER(
   IF(J_V="SI",(Datos!K11-Datos!U11)/Datos!U11,(Datos!K11+Datos!AA11-(Datos!U11+Datos!AI11))/(Datos!U11+Datos!AI11))
     ),IF(J_V="SI",(Datos!K11-Datos!U11)/Datos!U11,(Datos!K11+Datos!AA11-(Datos!U11+Datos!AI11))/(Datos!U11+Datos!AI11))," - ")</f>
        <v>0.17958067456700091</v>
      </c>
      <c r="E11" s="456">
        <f>IF(ISNUMBER(
   IF(J_V="SI",(Datos!L11-Datos!V11)/Datos!V11,(Datos!L11+Datos!AB11-(Datos!V11+Datos!AJ11))/(Datos!V11+Datos!AJ11))
     ),IF(J_V="SI",(Datos!L11-Datos!V11)/Datos!V11,(Datos!L11+Datos!AB11-(Datos!V11+Datos!AJ11))/(Datos!V11+Datos!AJ11))," - ")</f>
        <v>-0.22695035460992907</v>
      </c>
      <c r="F11" s="456">
        <f>IF(ISNUMBER((Datos!M11-Datos!W11)/Datos!W11),(Datos!M11-Datos!W11)/Datos!W11," - ")</f>
        <v>0.16632860040567951</v>
      </c>
      <c r="G11" s="457">
        <f>IF(ISNUMBER((Datos!N11-Datos!X11)/Datos!X11),(Datos!N11-Datos!X11)/Datos!X11," - ")</f>
        <v>0.33149171270718231</v>
      </c>
      <c r="H11" s="455">
        <f>IF(ISNUMBER(((NºAsuntos!G11/NºAsuntos!E11)-Datos!BD11)/Datos!BD11),((NºAsuntos!G11/NºAsuntos!E11)-Datos!BD11)/Datos!BD11," - ")</f>
        <v>0.20750544155675035</v>
      </c>
      <c r="I11" s="456">
        <f>IF(ISNUMBER(((NºAsuntos!I11/NºAsuntos!G11)-Datos!BE11)/Datos!BE11),((NºAsuntos!I11/NºAsuntos!G11)-Datos!BE11)/Datos!BE11," - ")</f>
        <v>-0.34464029289574349</v>
      </c>
      <c r="J11" s="461">
        <f>IF(ISNUMBER((('Resol  Asuntos'!D11/NºAsuntos!G11)-Datos!BF11)/Datos!BF11),(('Resol  Asuntos'!D11/NºAsuntos!G11)-Datos!BF11)/Datos!BF11," - ")</f>
        <v>-0.10228110474466369</v>
      </c>
      <c r="K11" s="462">
        <f>IF(ISNUMBER((((NºAsuntos!C11+NºAsuntos!E11)/NºAsuntos!G11)-Datos!BG11)/Datos!BG11),(((NºAsuntos!C11+NºAsuntos!E11)/NºAsuntos!G11)-Datos!BG11)/Datos!BG11," - ")</f>
        <v>-9.2022945482179305E-2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-0.5714285714285714</v>
      </c>
      <c r="C12" s="456">
        <f>IF(ISNUMBER(
   IF(J_V="SI",(Datos!J12-Datos!T12)/Datos!T12,(Datos!J12+Datos!Z12-(Datos!T12+Datos!AH12))/(Datos!T12+Datos!AH12))
     ),IF(J_V="SI",(Datos!J12-Datos!T12)/Datos!T12,(Datos!J12+Datos!Z12-(Datos!T12+Datos!AH12))/(Datos!T12+Datos!AH12))," - ")</f>
        <v>-1</v>
      </c>
      <c r="D12" s="456">
        <f>IF(ISNUMBER(
   IF(J_V="SI",(Datos!K12-Datos!U12)/Datos!U12,(Datos!K12+Datos!AA12-(Datos!U12+Datos!AI12))/(Datos!U12+Datos!AI12))
     ),IF(J_V="SI",(Datos!K12-Datos!U12)/Datos!U12,(Datos!K12+Datos!AA12-(Datos!U12+Datos!AI12))/(Datos!U12+Datos!AI12))," - ")</f>
        <v>-0.7142857142857143</v>
      </c>
      <c r="E12" s="456">
        <f>IF(ISNUMBER(
   IF(J_V="SI",(Datos!L12-Datos!V12)/Datos!V12,(Datos!L12+Datos!AB12-(Datos!V12+Datos!AJ12))/(Datos!V12+Datos!AJ12))
     ),IF(J_V="SI",(Datos!L12-Datos!V12)/Datos!V12,(Datos!L12+Datos!AB12-(Datos!V12+Datos!AJ12))/(Datos!V12+Datos!AJ12))," - ")</f>
        <v>-0.66666666666666663</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f>IF(ISNUMBER(((NºAsuntos!I12/NºAsuntos!G12)-Datos!BE12)/Datos!BE12),((NºAsuntos!I12/NºAsuntos!G12)-Datos!BE12)/Datos!BE12," - ")</f>
        <v>0.16666666666666674</v>
      </c>
      <c r="J12" s="461" t="str">
        <f>IF(ISNUMBER((('Resol  Asuntos'!D12/NºAsuntos!G12)-Datos!BF12)/Datos!BF12),(('Resol  Asuntos'!D12/NºAsuntos!G12)-Datos!BF12)/Datos!BF12," - ")</f>
        <v xml:space="preserve"> - </v>
      </c>
      <c r="K12" s="462">
        <f>IF(ISNUMBER((((NºAsuntos!C12+NºAsuntos!E12)/NºAsuntos!G12)-Datos!BG12)/Datos!BG12),(((NºAsuntos!C12+NºAsuntos!E12)/NºAsuntos!G12)-Datos!BG12)/Datos!BG12," - ")</f>
        <v>4.9999999999999975E-2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0.62006427915518825</v>
      </c>
      <c r="C13" s="855">
        <f>IF(ISNUMBER(
   IF(J_V="SI",(Datos!J13-Datos!T13)/Datos!T13,(Datos!J13+Datos!Z13-(Datos!T13+Datos!AH13))/(Datos!T13+Datos!AH13))
     ),IF(J_V="SI",(Datos!J13-Datos!T13)/Datos!T13,(Datos!J13+Datos!Z13-(Datos!T13+Datos!AH13))/(Datos!T13+Datos!AH13))," - ")</f>
        <v>0.3513562062151967</v>
      </c>
      <c r="D13" s="855">
        <f>IF(ISNUMBER(
   IF(J_V="SI",(Datos!K13-Datos!U13)/Datos!U13,(Datos!K13+Datos!AA13-(Datos!U13+Datos!AI13))/(Datos!U13+Datos!AI13))
     ),IF(J_V="SI",(Datos!K13-Datos!U13)/Datos!U13,(Datos!K13+Datos!AA13-(Datos!U13+Datos!AI13))/(Datos!U13+Datos!AI13))," - ")</f>
        <v>0.86572970259756554</v>
      </c>
      <c r="E13" s="855">
        <f>IF(ISNUMBER(
   IF(J_V="SI",(Datos!L13-Datos!V13)/Datos!V13,(Datos!L13+Datos!AB13-(Datos!V13+Datos!AJ13))/(Datos!V13+Datos!AJ13))
     ),IF(J_V="SI",(Datos!L13-Datos!V13)/Datos!V13,(Datos!L13+Datos!AB13-(Datos!V13+Datos!AJ13))/(Datos!V13+Datos!AJ13))," - ")</f>
        <v>6.6742241745784331E-2</v>
      </c>
      <c r="F13" s="856">
        <f>IF(ISNUMBER((Datos!M13-Datos!W13)/Datos!W13),(Datos!M13-Datos!W13)/Datos!W13," - ")</f>
        <v>1.0323383084577114</v>
      </c>
      <c r="G13" s="857">
        <f>IF(ISNUMBER((Datos!N13-Datos!X13)/Datos!X13),(Datos!N13-Datos!X13)/Datos!X13," - ")</f>
        <v>0.74069400630914828</v>
      </c>
      <c r="H13" s="857">
        <f>IF(ISNUMBER(((NºAsuntos!G13/NºAsuntos!E13)-Datos!BD13)/Datos!BD13),((NºAsuntos!G13/NºAsuntos!E13)-Datos!BD13)/Datos!BD13," - ")</f>
        <v>0.38063501985386772</v>
      </c>
      <c r="I13" s="857">
        <f>IF(ISNUMBER(((NºAsuntos!I13/NºAsuntos!G13)-Datos!BE13)/Datos!BE13),((NºAsuntos!I13/NºAsuntos!G13)-Datos!BE13)/Datos!BE13," - ")</f>
        <v>-0.42824395181112762</v>
      </c>
      <c r="J13" s="857">
        <f>IF(ISNUMBER((('Resol  Asuntos'!D13/NºAsuntos!G13)-Datos!BF13)/Datos!BF13),(('Resol  Asuntos'!D13/NºAsuntos!G13)-Datos!BF13)/Datos!BF13," - ")</f>
        <v>-0.31148054663005098</v>
      </c>
      <c r="K13" s="857">
        <f>IF(ISNUMBER((((NºAsuntos!C13+NºAsuntos!E13)/NºAsuntos!G13)-Datos!BG13)/Datos!BG13),(((NºAsuntos!C13+NºAsuntos!E13)/NºAsuntos!G13)-Datos!BG13)/Datos!BG13," - ")</f>
        <v>-0.23519436285709777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0.90271132376395535</v>
      </c>
      <c r="C15" s="456">
        <f>IF(ISNUMBER(
   IF(D_I="SI",(Datos!J15-Datos!T15)/Datos!T15,(Datos!J15+Datos!AD15-(Datos!T15+Datos!AL15))/(Datos!T15+Datos!AL15))
     ),IF(D_I="SI",(Datos!J15-Datos!T15)/Datos!T15,(Datos!J15+Datos!AD15-(Datos!T15+Datos!AL15))/(Datos!T15+Datos!AL15))," - ")</f>
        <v>-7.8192500432002765E-2</v>
      </c>
      <c r="D15" s="456">
        <f>IF(ISNUMBER(
   IF(D_I="SI",(Datos!K15-Datos!U15)/Datos!U15,(Datos!K15+Datos!AE15-(Datos!U15+Datos!AM15))/(Datos!U15+Datos!AM15))
     ),IF(D_I="SI",(Datos!K15-Datos!U15)/Datos!U15,(Datos!K15+Datos!AE15-(Datos!U15+Datos!AM15))/(Datos!U15+Datos!AM15))," - ")</f>
        <v>3.0021782365754333E-2</v>
      </c>
      <c r="E15" s="456">
        <f>IF(ISNUMBER(
   IF(D_I="SI",(Datos!L15-Datos!V15)/Datos!V15,(Datos!L15+Datos!AF15-(Datos!V15+Datos!AN15))/(Datos!V15+Datos!AN15))
     ),IF(D_I="SI",(Datos!L15-Datos!V15)/Datos!V15,(Datos!L15+Datos!AF15-(Datos!V15+Datos!AN15))/(Datos!V15+Datos!AN15))," - ")</f>
        <v>-4.7778709136630342E-2</v>
      </c>
      <c r="F15" s="456">
        <f>IF(ISNUMBER((Datos!M15-Datos!W15)/Datos!W15),(Datos!M15-Datos!W15)/Datos!W15," - ")</f>
        <v>0.10560146923783287</v>
      </c>
      <c r="G15" s="457">
        <f>IF(ISNUMBER((Datos!N15-Datos!X15)/Datos!X15),(Datos!N15-Datos!X15)/Datos!X15," - ")</f>
        <v>-3.6205947136563874E-2</v>
      </c>
      <c r="H15" s="455">
        <f>IF(ISNUMBER(((NºAsuntos!G15/NºAsuntos!E15)-Datos!BD15)/Datos!BD15),((NºAsuntos!G15/NºAsuntos!E15)-Datos!BD15)/Datos!BD15," - ")</f>
        <v>0.11739358038253261</v>
      </c>
      <c r="I15" s="456">
        <f>IF(ISNUMBER(((NºAsuntos!I15/NºAsuntos!G15)-Datos!BE15)/Datos!BE15),((NºAsuntos!I15/NºAsuntos!G15)-Datos!BE15)/Datos!BE15," - ")</f>
        <v>-7.55328604058184E-2</v>
      </c>
      <c r="J15" s="461">
        <f>IF(ISNUMBER((('Resol  Asuntos'!D15/NºAsuntos!G15)-Datos!BF15)/Datos!BF15),(('Resol  Asuntos'!D15/NºAsuntos!G15)-Datos!BF15)/Datos!BF15," - ")</f>
        <v>7.337678500204832E-2</v>
      </c>
      <c r="K15" s="462">
        <f>IF(ISNUMBER((((NºAsuntos!C15+NºAsuntos!E15)/NºAsuntos!G15)-Datos!BG15)/Datos!BG15),(((NºAsuntos!C15+NºAsuntos!E15)/NºAsuntos!G15)-Datos!BG15)/Datos!BG15," - ")</f>
        <v>-1.1966850454590052E-2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3.2307692307692308</v>
      </c>
      <c r="C17" s="456">
        <f>IF(ISNUMBER(
   IF(D_I="SI",(Datos!J17-Datos!T17)/Datos!T17,(Datos!J17+Datos!AD17-(Datos!T17+Datos!AL17))/(Datos!T17+Datos!AL17))
     ),IF(D_I="SI",(Datos!J17-Datos!T17)/Datos!T17,(Datos!J17+Datos!AD17-(Datos!T17+Datos!AL17))/(Datos!T17+Datos!AL17))," - ")</f>
        <v>-0.50696677384780275</v>
      </c>
      <c r="D17" s="456">
        <f>IF(ISNUMBER(
   IF(D_I="SI",(Datos!K17-Datos!U17)/Datos!U17,(Datos!K17+Datos!AE17-(Datos!U17+Datos!AM17))/(Datos!U17+Datos!AM17))
     ),IF(D_I="SI",(Datos!K17-Datos!U17)/Datos!U17,(Datos!K17+Datos!AE17-(Datos!U17+Datos!AM17))/(Datos!U17+Datos!AM17))," - ")</f>
        <v>-0.46724137931034482</v>
      </c>
      <c r="E17" s="456">
        <f>IF(ISNUMBER(
   IF(D_I="SI",(Datos!L17-Datos!V17)/Datos!V17,(Datos!L17+Datos!AF17-(Datos!V17+Datos!AN17))/(Datos!V17+Datos!AN17))
     ),IF(D_I="SI",(Datos!L17-Datos!V17)/Datos!V17,(Datos!L17+Datos!AF17-(Datos!V17+Datos!AN17))/(Datos!V17+Datos!AN17))," - ")</f>
        <v>1.2121212121212121E-2</v>
      </c>
      <c r="F17" s="456">
        <f>IF(ISNUMBER((Datos!M17-Datos!W17)/Datos!W17),(Datos!M17-Datos!W17)/Datos!W17," - ")</f>
        <v>-0.11881188118811881</v>
      </c>
      <c r="G17" s="457">
        <f>IF(ISNUMBER((Datos!N17-Datos!X17)/Datos!X17),(Datos!N17-Datos!X17)/Datos!X17," - ")</f>
        <v>0.30118110236220474</v>
      </c>
      <c r="H17" s="455">
        <f>IF(ISNUMBER(((NºAsuntos!G17/NºAsuntos!E17)-Datos!BD17)/Datos!BD17),((NºAsuntos!G17/NºAsuntos!E17)-Datos!BD17)/Datos!BD17," - ")</f>
        <v>8.0573463268365814E-2</v>
      </c>
      <c r="I17" s="456">
        <f>IF(ISNUMBER(((NºAsuntos!I17/NºAsuntos!G17)-Datos!BE17)/Datos!BE17),((NºAsuntos!I17/NºAsuntos!G17)-Datos!BE17)/Datos!BE17," - ")</f>
        <v>0.89977444346376378</v>
      </c>
      <c r="J17" s="461">
        <f>IF(ISNUMBER((('Resol  Asuntos'!D17/NºAsuntos!G17)-Datos!BF17)/Datos!BF17),(('Resol  Asuntos'!D17/NºAsuntos!G17)-Datos!BF17)/Datos!BF17," - ")</f>
        <v>0.6540100612002947</v>
      </c>
      <c r="K17" s="462">
        <f>IF(ISNUMBER((((NºAsuntos!C17+NºAsuntos!E17)/NºAsuntos!G17)-Datos!BG17)/Datos!BG17),(((NºAsuntos!C17+NºAsuntos!E17)/NºAsuntos!G17)-Datos!BG17)/Datos!BG17," - ")</f>
        <v>6.9065395951719649E-2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0.97293116782675948</v>
      </c>
      <c r="C18" s="855">
        <f>IF(ISNUMBER(
   IF(Criterios!B14="SI",(Datos!J18-Datos!T18)/Datos!T18,(Datos!J18+Datos!AD18-(Datos!T18+Datos!AL18))/(Datos!T18+Datos!AL18))
     ),IF(Criterios!B14="SI",(Datos!J18-Datos!T18)/Datos!T18,(Datos!J18+Datos!AD18-(Datos!T18+Datos!AL18))/(Datos!T18+Datos!AL18))," - ")</f>
        <v>-0.1377232142857143</v>
      </c>
      <c r="D18" s="855">
        <f>IF(ISNUMBER(
   IF(Criterios!B14="SI",(Datos!K18-Datos!U18)/Datos!U18,(Datos!K18+Datos!AE18-(Datos!U18+Datos!AM18))/(Datos!U18+Datos!AM18))
     ),IF(Criterios!B14="SI",(Datos!K18-Datos!U18)/Datos!U18,(Datos!K18+Datos!AE18-(Datos!U18+Datos!AM18))/(Datos!U18+Datos!AM18))," - ")</f>
        <v>-4.0328481990405722E-2</v>
      </c>
      <c r="E18" s="855">
        <f>IF(ISNUMBER(
   IF(Criterios!B14="SI",(Datos!L18-Datos!V18)/Datos!V18,(Datos!L18+Datos!AF18-(Datos!V18+Datos!AN18))/(Datos!V18+Datos!AN18))
     ),IF(Criterios!B14="SI",(Datos!L18-Datos!V18)/Datos!V18,(Datos!L18+Datos!AF18-(Datos!V18+Datos!AN18))/(Datos!V18+Datos!AN18))," - ")</f>
        <v>-4.3904351234809881E-2</v>
      </c>
      <c r="F18" s="856">
        <f>IF(ISNUMBER((Datos!M18-Datos!W18)/Datos!W18),(Datos!M18-Datos!W18)/Datos!W18," - ")</f>
        <v>7.0487993803253296E-2</v>
      </c>
      <c r="G18" s="857">
        <f>IF(ISNUMBER((Datos!N18-Datos!X18)/Datos!X18),(Datos!N18-Datos!X18)/Datos!X18," - ")</f>
        <v>-1.4153371075656201E-2</v>
      </c>
      <c r="H18" s="857">
        <f>IF(ISNUMBER(((NºAsuntos!G18/NºAsuntos!E18)-Datos!BD18)/Datos!BD18),((NºAsuntos!G18/NºAsuntos!E18)-Datos!BD18)/Datos!BD18," - ")</f>
        <v>0.11295066028552486</v>
      </c>
      <c r="I18" s="857">
        <f>IF(ISNUMBER(((NºAsuntos!I18/NºAsuntos!G18)-Datos!BE18)/Datos!BE18),((NºAsuntos!I18/NºAsuntos!G18)-Datos!BE18)/Datos!BE18," - ")</f>
        <v>-3.7261387644604367E-3</v>
      </c>
      <c r="J18" s="857">
        <f>IF(ISNUMBER((('Resol  Asuntos'!D18/NºAsuntos!G18)-Datos!BF18)/Datos!BF18),(('Resol  Asuntos'!D18/NºAsuntos!G18)-Datos!BF18)/Datos!BF18," - ")</f>
        <v>0.11547334031908942</v>
      </c>
      <c r="K18" s="857">
        <f>IF(ISNUMBER((((NºAsuntos!C18+NºAsuntos!E18)/NºAsuntos!G18)-Datos!BG18)/Datos!BG18),(((NºAsuntos!C18+NºAsuntos!E18)/NºAsuntos!G18)-Datos!BG18)/Datos!BG18," - ")</f>
        <v>8.2009919180632006E-5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0.70083200566471937</v>
      </c>
      <c r="C19" s="802">
        <f>IF(ISNUMBER(
   IF(J_V="SI",(Datos!J19-Datos!T19)/Datos!T19,(Datos!J19+Datos!Z19-(Datos!T19+Datos!AH19))/(Datos!T19+Datos!AH19))
     ),IF(J_V="SI",(Datos!J19-Datos!T19)/Datos!T19,(Datos!J19+Datos!Z19-(Datos!T19+Datos!AH19))/(Datos!T19+Datos!AH19))," - ")</f>
        <v>8.3869129974770085E-2</v>
      </c>
      <c r="D19" s="802">
        <f>IF(ISNUMBER(
   IF(J_V="SI",(Datos!K19-Datos!U19)/Datos!U19,(Datos!K19+Datos!AA19-(Datos!U19+Datos!AI19))/(Datos!U19+Datos!AI19))
     ),IF(J_V="SI",(Datos!K19-Datos!U19)/Datos!U19,(Datos!K19+Datos!AA19-(Datos!U19+Datos!AI19))/(Datos!U19+Datos!AI19))," - ")</f>
        <v>0.31591671600552595</v>
      </c>
      <c r="E19" s="802">
        <f>IF(ISNUMBER(
   IF(J_V="SI",(Datos!L19-Datos!V19)/Datos!V19,(Datos!L19+Datos!AB19-(Datos!V19+Datos!AJ19))/(Datos!V19+Datos!AJ19))
     ),IF(J_V="SI",(Datos!L19-Datos!V19)/Datos!V19,(Datos!L19+Datos!AB19-(Datos!V19+Datos!AJ19))/(Datos!V19+Datos!AJ19))," - ")</f>
        <v>3.7364696086594505E-2</v>
      </c>
      <c r="F19" s="803">
        <f>IF(ISNUMBER((Datos!M19-Datos!W19)/Datos!W19),(Datos!M19-Datos!W19)/Datos!W19," - ")</f>
        <v>0.65616479854589516</v>
      </c>
      <c r="G19" s="804">
        <f>IF(ISNUMBER((Datos!N19-Datos!X19)/Datos!X19),(Datos!N19-Datos!X19)/Datos!X19," - ")</f>
        <v>0.20453299214037654</v>
      </c>
      <c r="H19" s="805">
        <f>IF(ISNUMBER((Tasas!B19-Datos!BD19)/Datos!BD19),(Tasas!B19-Datos!BD19)/Datos!BD19," - ")</f>
        <v>0.21409188583141708</v>
      </c>
      <c r="I19" s="806">
        <f>IF(ISNUMBER((Tasas!C19-Datos!BE19)/Datos!BE19),(Tasas!C19-Datos!BE19)/Datos!BE19," - ")</f>
        <v>-0.211679064891339</v>
      </c>
      <c r="J19" s="807">
        <f>IF(ISNUMBER((Tasas!D19-Datos!BF19)/Datos!BF19),(Tasas!D19-Datos!BF19)/Datos!BF19," - ")</f>
        <v>-7.0785452743039143E-2</v>
      </c>
      <c r="K19" s="807">
        <f>IF(ISNUMBER((Tasas!E19-Datos!BG19)/Datos!BG19),(Tasas!E19-Datos!BG19)/Datos!BG19," - ")</f>
        <v>-8.8706727581411529E-2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FldQ1q27/Qbp2kBUEIuWC+aGfXA7MXR2ri8Rn9p2KX9R5cUInzl6dPUKyV7SY5wiqFaRP0pimINsWjHYhH1tQ==" saltValue="QeSbFoW3Z2I2vVD2Iw5j5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BADAJOZ</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0.98312143796580442</v>
      </c>
      <c r="C9" s="443">
        <f>IF(ISNUMBER(NºAsuntos!I9/NºAsuntos!G9),NºAsuntos!I9/NºAsuntos!G9," - ")</f>
        <v>0.50962467484206619</v>
      </c>
      <c r="D9" s="444">
        <f>IF(ISNUMBER('Resol  Asuntos'!D9/NºAsuntos!G9),'Resol  Asuntos'!D9/NºAsuntos!G9," - ")</f>
        <v>0.25782237086584914</v>
      </c>
      <c r="E9" s="445">
        <f>IF(ISNUMBER((NºAsuntos!C9+NºAsuntos!E9)/NºAsuntos!G9),(NºAsuntos!C9+NºAsuntos!E9)/NºAsuntos!G9," - ")</f>
        <v>1.4810850984764028</v>
      </c>
      <c r="G9" s="463"/>
    </row>
    <row r="10" spans="1:7">
      <c r="A10" s="402" t="str">
        <f>Datos!A10</f>
        <v>Jdos. Violencia contra la mujer</v>
      </c>
      <c r="B10" s="442">
        <f>IF(ISNUMBER(NºAsuntos!G10/NºAsuntos!E10),NºAsuntos!G10/NºAsuntos!E10," - ")</f>
        <v>0.8666666666666667</v>
      </c>
      <c r="C10" s="443">
        <f>IF(ISNUMBER(NºAsuntos!I10/NºAsuntos!G10),NºAsuntos!I10/NºAsuntos!G10," - ")</f>
        <v>1.0683760683760684</v>
      </c>
      <c r="D10" s="444">
        <f>IF(ISNUMBER('Resol  Asuntos'!D10/NºAsuntos!G10),'Resol  Asuntos'!D10/NºAsuntos!G10," - ")</f>
        <v>0.3504273504273504</v>
      </c>
      <c r="E10" s="445">
        <f>IF(ISNUMBER((NºAsuntos!C10+NºAsuntos!E10)/NºAsuntos!G10),(NºAsuntos!C10+NºAsuntos!E10)/NºAsuntos!G10," - ")</f>
        <v>2.0683760683760686</v>
      </c>
      <c r="G10" s="463"/>
    </row>
    <row r="11" spans="1:7">
      <c r="A11" s="402" t="str">
        <f>Datos!A11</f>
        <v xml:space="preserve">Jdos. Familia                                   </v>
      </c>
      <c r="B11" s="442">
        <f>IF(ISNUMBER(NºAsuntos!G11/NºAsuntos!E11),NºAsuntos!G11/NºAsuntos!E11," - ")</f>
        <v>1.0563265306122449</v>
      </c>
      <c r="C11" s="443">
        <f>IF(ISNUMBER(NºAsuntos!I11/NºAsuntos!G11),NºAsuntos!I11/NºAsuntos!G11," - ")</f>
        <v>0.42117465224111283</v>
      </c>
      <c r="D11" s="444">
        <f>IF(ISNUMBER('Resol  Asuntos'!D11/NºAsuntos!G11),'Resol  Asuntos'!D11/NºAsuntos!G11," - ")</f>
        <v>0.44435857805255025</v>
      </c>
      <c r="E11" s="445">
        <f>IF(ISNUMBER((NºAsuntos!C11+NºAsuntos!E11)/NºAsuntos!G11),(NºAsuntos!C11+NºAsuntos!E11)/NºAsuntos!G11," - ")</f>
        <v>1.491499227202473</v>
      </c>
      <c r="G11" s="463"/>
    </row>
    <row r="12" spans="1:7" ht="13.5" thickBot="1">
      <c r="A12" s="402" t="str">
        <f>Datos!A12</f>
        <v xml:space="preserve">Jdos. 1ª Instª. e Instr.                        </v>
      </c>
      <c r="B12" s="442" t="str">
        <f>IF(ISNUMBER(NºAsuntos!G12/NºAsuntos!E12),NºAsuntos!G12/NºAsuntos!E12," - ")</f>
        <v xml:space="preserve"> - </v>
      </c>
      <c r="C12" s="443">
        <f>IF(ISNUMBER(NºAsuntos!I12/NºAsuntos!G12),NºAsuntos!I12/NºAsuntos!G12," - ")</f>
        <v>0.5</v>
      </c>
      <c r="D12" s="444">
        <f>IF(ISNUMBER('Resol  Asuntos'!D12/NºAsuntos!G12),'Resol  Asuntos'!D12/NºAsuntos!G12," - ")</f>
        <v>0</v>
      </c>
      <c r="E12" s="445">
        <f>IF(ISNUMBER((NºAsuntos!C12+NºAsuntos!E12)/NºAsuntos!G12),(NºAsuntos!C12+NºAsuntos!E12)/NºAsuntos!G12," - ")</f>
        <v>1.5</v>
      </c>
      <c r="G12" s="463"/>
    </row>
    <row r="13" spans="1:7" ht="14.25" thickTop="1" thickBot="1">
      <c r="A13" s="848" t="str">
        <f>Datos!A13</f>
        <v>TOTAL</v>
      </c>
      <c r="B13" s="858">
        <f>IF(ISNUMBER(NºAsuntos!G13/NºAsuntos!E13),NºAsuntos!G13/NºAsuntos!E13," - ")</f>
        <v>0.98816961318622887</v>
      </c>
      <c r="C13" s="859">
        <f>IF(ISNUMBER(NºAsuntos!I13/NºAsuntos!G13),NºAsuntos!I13/NºAsuntos!G13," - ")</f>
        <v>0.50632230293247238</v>
      </c>
      <c r="D13" s="860">
        <f>IF(ISNUMBER('Resol  Asuntos'!D13/NºAsuntos!G13),'Resol  Asuntos'!D13/NºAsuntos!G13," - ")</f>
        <v>0.27475114339521117</v>
      </c>
      <c r="E13" s="861">
        <f>IF(ISNUMBER((NºAsuntos!C13+NºAsuntos!E13)/NºAsuntos!G13),(NºAsuntos!C13+NºAsuntos!E13)/NºAsuntos!G13," - ")</f>
        <v>1.4866155501748721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1.0194020058112288</v>
      </c>
      <c r="C15" s="443">
        <f>IF(ISNUMBER(NºAsuntos!I15/NºAsuntos!G15),NºAsuntos!I15/NºAsuntos!G15," - ")</f>
        <v>0.20890033100404559</v>
      </c>
      <c r="D15" s="444">
        <f>IF(ISNUMBER('Resol  Asuntos'!D15/NºAsuntos!G15),'Resol  Asuntos'!D15/NºAsuntos!G15," - ")</f>
        <v>0.11070246414122839</v>
      </c>
      <c r="E15" s="445">
        <f>IF(ISNUMBER((NºAsuntos!C15+NºAsuntos!E15)/NºAsuntos!G15),(NºAsuntos!C15+NºAsuntos!E15)/NºAsuntos!G15," - ")</f>
        <v>1.2003493931592497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1.0076086956521739</v>
      </c>
      <c r="C17" s="443">
        <f>IF(ISNUMBER(NºAsuntos!I17/NºAsuntos!G17),NºAsuntos!I17/NºAsuntos!G17," - ")</f>
        <v>0.18015102481121897</v>
      </c>
      <c r="D17" s="444">
        <f>IF(ISNUMBER('Resol  Asuntos'!D17/NºAsuntos!G17),'Resol  Asuntos'!D17/NºAsuntos!G17," - ")</f>
        <v>0.19201725997842503</v>
      </c>
      <c r="E17" s="445">
        <f>IF(ISNUMBER((NºAsuntos!C17+NºAsuntos!E17)/NºAsuntos!G17),(NºAsuntos!C17+NºAsuntos!E17)/NºAsuntos!G17," - ")</f>
        <v>1.1704422869471414</v>
      </c>
      <c r="G17" s="463"/>
    </row>
    <row r="18" spans="1:7" ht="14.25" thickTop="1" thickBot="1">
      <c r="A18" s="848" t="str">
        <f>Datos!A18</f>
        <v>TOTAL</v>
      </c>
      <c r="B18" s="858">
        <f>IF(ISNUMBER(NºAsuntos!G18/NºAsuntos!E18),NºAsuntos!G18/NºAsuntos!E18," - ")</f>
        <v>1.0184657865217017</v>
      </c>
      <c r="C18" s="859">
        <f>IF(ISNUMBER(NºAsuntos!I18/NºAsuntos!G18),NºAsuntos!I18/NºAsuntos!G18," - ")</f>
        <v>0.20664237905617217</v>
      </c>
      <c r="D18" s="862">
        <f>IF(ISNUMBER('Resol  Asuntos'!D18/NºAsuntos!G18),'Resol  Asuntos'!D18/NºAsuntos!G18," - ")</f>
        <v>0.11708887570956536</v>
      </c>
      <c r="E18" s="861">
        <f>IF(ISNUMBER((NºAsuntos!C18+NºAsuntos!E18)/NºAsuntos!G18),(NºAsuntos!C18+NºAsuntos!E18)/NºAsuntos!G18," - ")</f>
        <v>1.198000508345336</v>
      </c>
      <c r="G18" s="463"/>
    </row>
    <row r="19" spans="1:7" ht="15.75" customHeight="1" thickTop="1" thickBot="1">
      <c r="A19" s="793" t="str">
        <f>Datos!A19</f>
        <v>TOTAL JURISDICCIONES</v>
      </c>
      <c r="B19" s="808">
        <f>IF(ISNUMBER(NºAsuntos!G19/NºAsuntos!E19),NºAsuntos!G19/NºAsuntos!E19," - ")</f>
        <v>1.0013516050309743</v>
      </c>
      <c r="C19" s="809">
        <f>IF(ISNUMBER(NºAsuntos!I19/NºAsuntos!G19),NºAsuntos!I19/NºAsuntos!G19," - ")</f>
        <v>0.37370177346181244</v>
      </c>
      <c r="D19" s="810">
        <f>IF(ISNUMBER('Resol  Asuntos'!D19/NºAsuntos!G19),'Resol  Asuntos'!D19/NºAsuntos!G19," - ")</f>
        <v>0.20497919088148175</v>
      </c>
      <c r="E19" s="811">
        <f>IF(ISNUMBER((NºAsuntos!C19+NºAsuntos!E19)/NºAsuntos!G19),(NºAsuntos!C19+NºAsuntos!E19)/NºAsuntos!G19," - ")</f>
        <v>1.3588916801019835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Gd19Oat+3zl47YTdR76ZBDC4+5DPfm6A0spPyJdSgIB7he4oUKE+9DriS7c7mDmS2cVvEaQrQ8uLyisv51WNg==" saltValue="WmXthse1jlnUhQjLySU9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BADAJOZ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1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242</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3036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2678</v>
      </c>
      <c r="Y9" s="334">
        <f>SUM(W9:X9)</f>
        <v>2678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8259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3469</v>
      </c>
      <c r="AJ9" s="229" t="str">
        <f>IF(ISNUMBER(Datos!BW9),Datos!BW9," - ")</f>
        <v xml:space="preserve"> - </v>
      </c>
      <c r="AK9" s="228" t="str">
        <f>IF(ISNUMBER(Datos!BX9),Datos!BX9," - ")</f>
        <v xml:space="preserve"> - </v>
      </c>
      <c r="AL9" s="243">
        <f>IF(ISNUMBER(NºAsuntos!G9/NºAsuntos!E9),NºAsuntos!G9/NºAsuntos!E9," - ")</f>
        <v>0.98312143796580442</v>
      </c>
      <c r="AM9" s="260">
        <f>IF(ISNUMBER(((NºAsuntos!I9/NºAsuntos!G9)*11)/factor_trimestre),((NºAsuntos!I9/NºAsuntos!G9)*11)/factor_trimestre," - ")</f>
        <v>5.6058714232627285</v>
      </c>
      <c r="AN9" s="244">
        <f>IF(ISNUMBER('Resol  Asuntos'!D9/NºAsuntos!G9),'Resol  Asuntos'!D9/NºAsuntos!G9," - ")</f>
        <v>0.25782237086584914</v>
      </c>
      <c r="AO9" s="245">
        <f>IF(ISNUMBER((NºAsuntos!C9+NºAsuntos!E9)/NºAsuntos!G9),(NºAsuntos!C9+NºAsuntos!E9)/NºAsuntos!G9," - ")</f>
        <v>1.4810850984764028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107</v>
      </c>
      <c r="G10" s="333">
        <f>IF(ISNUMBER(Datos!I10),Datos!I10," - ")</f>
        <v>107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117</v>
      </c>
      <c r="X10" s="226">
        <f>IF(ISNUMBER(Datos!Q10),Datos!Q10," - ")</f>
        <v>37</v>
      </c>
      <c r="Y10" s="334">
        <f t="shared" ref="Y10:Y12" si="0">SUM(W10:X10)</f>
        <v>154</v>
      </c>
      <c r="Z10" s="335" t="str">
        <f>IF(ISNUMBER(Datos!CC10),Datos!CC10," - ")</f>
        <v xml:space="preserve"> - </v>
      </c>
      <c r="AA10" s="332">
        <f>IF(ISNUMBER(Datos!L10),Datos!L10,"-")</f>
        <v>125</v>
      </c>
      <c r="AB10" s="334">
        <f>IF(ISNUMBER(Datos!R10),Datos!R10," - ")</f>
        <v>88</v>
      </c>
      <c r="AC10" s="334">
        <f t="shared" ref="AC10:AC12" si="1">IF(ISNUMBER(AA10+AB10),AA10+AB10," - ")</f>
        <v>213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41</v>
      </c>
      <c r="AJ10" s="231" t="str">
        <f>IF(ISNUMBER(Datos!BW10),Datos!BW10," - ")</f>
        <v xml:space="preserve"> - </v>
      </c>
      <c r="AK10" s="232" t="str">
        <f>IF(ISNUMBER(Datos!BX10),Datos!BX10," - ")</f>
        <v xml:space="preserve"> - </v>
      </c>
      <c r="AL10" s="243">
        <f>IF(ISNUMBER(NºAsuntos!G10/NºAsuntos!E10),NºAsuntos!G10/NºAsuntos!E10," - ")</f>
        <v>0.8666666666666667</v>
      </c>
      <c r="AM10" s="260">
        <f>IF(ISNUMBER(((NºAsuntos!I10/NºAsuntos!G10)*11)/factor_trimestre),((NºAsuntos!I10/NºAsuntos!G10)*11)/factor_trimestre," - ")</f>
        <v>11.752136752136751</v>
      </c>
      <c r="AN10" s="244">
        <f>IF(ISNUMBER('Resol  Asuntos'!D10/NºAsuntos!G10),'Resol  Asuntos'!D10/NºAsuntos!G10," - ")</f>
        <v>0.3504273504273504</v>
      </c>
      <c r="AO10" s="245">
        <f>IF(ISNUMBER((NºAsuntos!C10+NºAsuntos!E10)/NºAsuntos!G10),(NºAsuntos!C10+NºAsuntos!E10)/NºAsuntos!G10," - ")</f>
        <v>2.0683760683760686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235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245</v>
      </c>
      <c r="Y11" s="334">
        <f t="shared" si="0"/>
        <v>245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425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575</v>
      </c>
      <c r="AJ11" s="231" t="str">
        <f>IF(ISNUMBER(Datos!BW11),Datos!BW11," - ")</f>
        <v xml:space="preserve"> - </v>
      </c>
      <c r="AK11" s="232" t="str">
        <f>IF(ISNUMBER(Datos!BX11),Datos!BX11," - ")</f>
        <v xml:space="preserve"> - </v>
      </c>
      <c r="AL11" s="243">
        <f>IF(ISNUMBER(NºAsuntos!G11/NºAsuntos!E11),NºAsuntos!G11/NºAsuntos!E11," - ")</f>
        <v>1.0563265306122449</v>
      </c>
      <c r="AM11" s="260">
        <f>IF(ISNUMBER(((NºAsuntos!I11/NºAsuntos!G11)*11)/factor_trimestre),((NºAsuntos!I11/NºAsuntos!G11)*11)/factor_trimestre," - ")</f>
        <v>4.6329211746522407</v>
      </c>
      <c r="AN11" s="244">
        <f>IF(ISNUMBER('Resol  Asuntos'!D11/NºAsuntos!G11),'Resol  Asuntos'!D11/NºAsuntos!G11," - ")</f>
        <v>0.44435857805255025</v>
      </c>
      <c r="AO11" s="245">
        <f>IF(ISNUMBER((NºAsuntos!C11+NºAsuntos!E11)/NºAsuntos!G11),(NºAsuntos!C11+NºAsuntos!E11)/NºAsuntos!G11," - ")</f>
        <v>1.491499227202473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f>IF(ISNUMBER(((NºAsuntos!I12/NºAsuntos!G12)*11)/factor_trimestre),((NºAsuntos!I12/NºAsuntos!G12)*11)/factor_trimestre," - ")</f>
        <v>5.5</v>
      </c>
      <c r="AN12" s="244">
        <f>IF(ISNUMBER('Resol  Asuntos'!D12/NºAsuntos!G12),'Resol  Asuntos'!D12/NºAsuntos!G12," - ")</f>
        <v>0</v>
      </c>
      <c r="AO12" s="245">
        <f>IF(ISNUMBER((NºAsuntos!C12+NºAsuntos!E12)/NºAsuntos!G12),(NºAsuntos!C12+NºAsuntos!E12)/NºAsuntos!G12," - ")</f>
        <v>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107</v>
      </c>
      <c r="G13" s="866">
        <f t="shared" si="3"/>
        <v>107</v>
      </c>
      <c r="H13" s="865">
        <f t="shared" si="3"/>
        <v>0</v>
      </c>
      <c r="I13" s="867">
        <f t="shared" si="3"/>
        <v>0</v>
      </c>
      <c r="J13" s="867">
        <f t="shared" si="3"/>
        <v>0</v>
      </c>
      <c r="K13" s="867">
        <f t="shared" si="3"/>
        <v>0</v>
      </c>
      <c r="L13" s="867">
        <f t="shared" si="3"/>
        <v>3314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117</v>
      </c>
      <c r="X13" s="867">
        <f t="shared" si="4"/>
        <v>2967</v>
      </c>
      <c r="Y13" s="868">
        <f t="shared" si="4"/>
        <v>3084</v>
      </c>
      <c r="Z13" s="868">
        <f t="shared" si="4"/>
        <v>0</v>
      </c>
      <c r="AA13" s="868">
        <f t="shared" si="4"/>
        <v>125</v>
      </c>
      <c r="AB13" s="868">
        <f t="shared" si="4"/>
        <v>8796</v>
      </c>
      <c r="AC13" s="868">
        <f t="shared" si="4"/>
        <v>213</v>
      </c>
      <c r="AD13" s="868">
        <f t="shared" si="4"/>
        <v>0</v>
      </c>
      <c r="AE13" s="872">
        <f t="shared" si="4"/>
        <v>0</v>
      </c>
      <c r="AF13" s="865">
        <f t="shared" si="4"/>
        <v>0</v>
      </c>
      <c r="AG13" s="873">
        <f t="shared" si="4"/>
        <v>0</v>
      </c>
      <c r="AH13" s="870">
        <f t="shared" si="4"/>
        <v>0</v>
      </c>
      <c r="AI13" s="865">
        <f t="shared" si="4"/>
        <v>4085</v>
      </c>
      <c r="AJ13" s="867">
        <f t="shared" si="4"/>
        <v>0</v>
      </c>
      <c r="AK13" s="870">
        <f>SUBTOTAL(9,AK9:AK12)</f>
        <v>0</v>
      </c>
      <c r="AL13" s="874">
        <f>IF(ISNUMBER(NºAsuntos!G13/NºAsuntos!E13),NºAsuntos!G13/NºAsuntos!E13," - ")</f>
        <v>0.98816961318622887</v>
      </c>
      <c r="AM13" s="874">
        <f>IF(ISNUMBER(((NºAsuntos!I13/NºAsuntos!G13)*11)/factor_trimestre),((NºAsuntos!I13/NºAsuntos!G13)*11)/factor_trimestre," - ")</f>
        <v>5.5695453322571957</v>
      </c>
      <c r="AN13" s="875">
        <f>IF(ISNUMBER('Resol  Asuntos'!D13/NºAsuntos!G13),'Resol  Asuntos'!D13/NºAsuntos!G13," - ")</f>
        <v>0.27475114339521117</v>
      </c>
      <c r="AO13" s="876">
        <f>IF(ISNUMBER((NºAsuntos!C13+NºAsuntos!E13)/NºAsuntos!G13),(NºAsuntos!C13+NºAsuntos!E13)/NºAsuntos!G13," - ")</f>
        <v>1.4866155501748721</v>
      </c>
      <c r="AP13" s="877" t="str">
        <f t="shared" si="2"/>
        <v xml:space="preserve"> - </v>
      </c>
      <c r="AQ13" s="877">
        <f>IF(ISNUMBER((H13-W13+K13)/(F13)),(H13-W13+K13)/(F13)," - ")</f>
        <v>-1.0934579439252337</v>
      </c>
      <c r="AR13" s="878">
        <f>IF(ISNUMBER((Datos!P13-Datos!Q13)/(Datos!R13-Datos!P13+Datos!Q13)),(Datos!P13-Datos!Q13)/(Datos!R13-Datos!P13+Datos!Q13)," - ")</f>
        <v>4.1069949106403124E-2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2479</v>
      </c>
      <c r="G15" s="333">
        <f>IF(ISNUMBER(IF(D_I="SI",Datos!I15,Datos!I15+Datos!AC15)),IF(D_I="SI",Datos!I15,Datos!I15+Datos!AC15)," - ")</f>
        <v>2386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451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10876</v>
      </c>
      <c r="X15" s="226">
        <f>IF(ISNUMBER(Datos!Q15),Datos!Q15," - ")</f>
        <v>495</v>
      </c>
      <c r="Y15" s="334">
        <f>SUM(W15)</f>
        <v>10876</v>
      </c>
      <c r="Z15" s="335" t="str">
        <f>IF(ISNUMBER(Datos!CC15),Datos!CC15," - ")</f>
        <v xml:space="preserve"> - </v>
      </c>
      <c r="AA15" s="332">
        <f>IF(ISNUMBER(IF(D_I="SI",Datos!L15,Datos!L15+Datos!AF15)),IF(D_I="SI",Datos!L15,Datos!L15+Datos!AF15)," - ")</f>
        <v>2272</v>
      </c>
      <c r="AB15" s="334">
        <f>IF(ISNUMBER(Datos!R15),Datos!R15," - ")</f>
        <v>193</v>
      </c>
      <c r="AC15" s="334">
        <f t="shared" ref="AC15:AC17" si="6">IF(ISNUMBER(AA15+AB15),AA15+AB15," - ")</f>
        <v>2465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1204</v>
      </c>
      <c r="AJ15" s="231" t="str">
        <f>IF(ISNUMBER(Datos!BW15),Datos!BW15," - ")</f>
        <v xml:space="preserve"> - </v>
      </c>
      <c r="AK15" s="232" t="str">
        <f>IF(ISNUMBER(Datos!BX15),Datos!BX15," - ")</f>
        <v xml:space="preserve"> - </v>
      </c>
      <c r="AL15" s="243">
        <f>IF(ISNUMBER(NºAsuntos!G15/NºAsuntos!E15),NºAsuntos!G15/NºAsuntos!E15," - ")</f>
        <v>1.0194020058112288</v>
      </c>
      <c r="AM15" s="260">
        <f>IF(ISNUMBER(((NºAsuntos!I15/NºAsuntos!G15)*11)/factor_trimestre),((NºAsuntos!I15/NºAsuntos!G15)*11)/factor_trimestre," - ")</f>
        <v>2.2979036410445017</v>
      </c>
      <c r="AN15" s="244">
        <f>IF(ISNUMBER('Resol  Asuntos'!D15/NºAsuntos!G15),'Resol  Asuntos'!D15/NºAsuntos!G15," - ")</f>
        <v>0.11070246414122839</v>
      </c>
      <c r="AO15" s="245">
        <f>IF(ISNUMBER((NºAsuntos!C15+NºAsuntos!E15)/NºAsuntos!G15),(NºAsuntos!C15+NºAsuntos!E15)/NºAsuntos!G15," - ")</f>
        <v>1.2003493931592497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927</v>
      </c>
      <c r="X17" s="226">
        <f>IF(ISNUMBER(Datos!Q17),Datos!Q17," - ")</f>
        <v>32</v>
      </c>
      <c r="Y17" s="334">
        <f t="shared" si="7"/>
        <v>959</v>
      </c>
      <c r="Z17" s="335" t="str">
        <f>IF(ISNUMBER(Datos!CC17),Datos!CC17," - ")</f>
        <v xml:space="preserve"> - </v>
      </c>
      <c r="AA17" s="332">
        <f>IF(ISNUMBER(Datos!L17),Datos!L17,"-")</f>
        <v>167</v>
      </c>
      <c r="AB17" s="334">
        <f>IF(ISNUMBER(Datos!R17),Datos!R17," - ")</f>
        <v>14</v>
      </c>
      <c r="AC17" s="334">
        <f t="shared" si="6"/>
        <v>181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178</v>
      </c>
      <c r="AJ17" s="231" t="str">
        <f>IF(ISNUMBER(Datos!BW17),Datos!BW17," - ")</f>
        <v xml:space="preserve"> - </v>
      </c>
      <c r="AK17" s="232" t="str">
        <f>IF(ISNUMBER(Datos!BX17),Datos!BX17," - ")</f>
        <v xml:space="preserve"> - </v>
      </c>
      <c r="AL17" s="243">
        <f>IF(ISNUMBER(NºAsuntos!G17/NºAsuntos!E17),NºAsuntos!G17/NºAsuntos!E17," - ")</f>
        <v>1.0076086956521739</v>
      </c>
      <c r="AM17" s="260">
        <f>IF(ISNUMBER(((NºAsuntos!I17/NºAsuntos!G17)*11)/factor_trimestre),((NºAsuntos!I17/NºAsuntos!G17)*11)/factor_trimestre," - ")</f>
        <v>1.9816612729234087</v>
      </c>
      <c r="AN17" s="244">
        <f>IF(ISNUMBER('Resol  Asuntos'!D17/NºAsuntos!G17),'Resol  Asuntos'!D17/NºAsuntos!G17," - ")</f>
        <v>0.19201725997842503</v>
      </c>
      <c r="AO17" s="245">
        <f>IF(ISNUMBER((NºAsuntos!C17+NºAsuntos!E17)/NºAsuntos!G17),(NºAsuntos!C17+NºAsuntos!E17)/NºAsuntos!G17," - ")</f>
        <v>1.1704422869471414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2479</v>
      </c>
      <c r="G18" s="866">
        <f>SUBTOTAL(9,G15:G17)</f>
        <v>2551</v>
      </c>
      <c r="H18" s="865">
        <f t="shared" ref="H18:O18" si="10">SUBTOTAL(9,H14:H17)</f>
        <v>0</v>
      </c>
      <c r="I18" s="867">
        <f t="shared" si="10"/>
        <v>0</v>
      </c>
      <c r="J18" s="867">
        <f t="shared" si="10"/>
        <v>0</v>
      </c>
      <c r="K18" s="867">
        <f t="shared" si="10"/>
        <v>0</v>
      </c>
      <c r="L18" s="867">
        <f t="shared" si="10"/>
        <v>481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11803</v>
      </c>
      <c r="X18" s="867">
        <f t="shared" si="11"/>
        <v>527</v>
      </c>
      <c r="Y18" s="868">
        <f t="shared" si="11"/>
        <v>11835</v>
      </c>
      <c r="Z18" s="868">
        <f t="shared" si="11"/>
        <v>0</v>
      </c>
      <c r="AA18" s="868">
        <f t="shared" si="11"/>
        <v>2439</v>
      </c>
      <c r="AB18" s="868">
        <f t="shared" si="11"/>
        <v>207</v>
      </c>
      <c r="AC18" s="868">
        <f t="shared" si="11"/>
        <v>2646</v>
      </c>
      <c r="AD18" s="868">
        <f t="shared" si="11"/>
        <v>0</v>
      </c>
      <c r="AE18" s="872">
        <f t="shared" si="11"/>
        <v>0</v>
      </c>
      <c r="AF18" s="865">
        <f t="shared" si="11"/>
        <v>0</v>
      </c>
      <c r="AG18" s="873">
        <f t="shared" si="11"/>
        <v>0</v>
      </c>
      <c r="AH18" s="870">
        <f t="shared" si="11"/>
        <v>0</v>
      </c>
      <c r="AI18" s="865">
        <f t="shared" si="11"/>
        <v>1382</v>
      </c>
      <c r="AJ18" s="867">
        <f t="shared" si="11"/>
        <v>0</v>
      </c>
      <c r="AK18" s="870">
        <f t="shared" si="11"/>
        <v>0</v>
      </c>
      <c r="AL18" s="874">
        <f>IF(ISNUMBER(NºAsuntos!G18/NºAsuntos!E18),NºAsuntos!G18/NºAsuntos!E18," - ")</f>
        <v>1.0184657865217017</v>
      </c>
      <c r="AM18" s="874">
        <f>IF(ISNUMBER(((NºAsuntos!I18/NºAsuntos!G18)*11)/factor_trimestre),((NºAsuntos!I18/NºAsuntos!G18)*11)/factor_trimestre," - ")</f>
        <v>2.273066169617894</v>
      </c>
      <c r="AN18" s="875">
        <f>IF(ISNUMBER('Resol  Asuntos'!D18/NºAsuntos!G18),'Resol  Asuntos'!D18/NºAsuntos!G18," - ")</f>
        <v>0.11708887570956536</v>
      </c>
      <c r="AO18" s="876">
        <f>IF(ISNUMBER((NºAsuntos!C18+NºAsuntos!E18)/NºAsuntos!G18),(NºAsuntos!C18+NºAsuntos!E18)/NºAsuntos!G18," - ")</f>
        <v>1.198000508345336</v>
      </c>
      <c r="AP18" s="877" t="str">
        <f t="shared" si="2"/>
        <v xml:space="preserve"> - </v>
      </c>
      <c r="AQ18" s="877">
        <f>IF(ISNUMBER((H18-W18+K18)/(F18)),(H18-W18+K18)/(F18)," - ")</f>
        <v>-4.7611940298507465</v>
      </c>
      <c r="AR18" s="878">
        <f>IF(ISNUMBER((Datos!P18-Datos!Q18)/(Datos!R18-Datos!P18+Datos!Q18)),(Datos!P18-Datos!Q18)/(Datos!R18-Datos!P18+Datos!Q18)," - ")</f>
        <v>-0.18181818181818182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2586</v>
      </c>
      <c r="G19" s="821">
        <f t="shared" si="13"/>
        <v>2658</v>
      </c>
      <c r="H19" s="820">
        <f t="shared" si="13"/>
        <v>0</v>
      </c>
      <c r="I19" s="822">
        <f t="shared" si="13"/>
        <v>0</v>
      </c>
      <c r="J19" s="822">
        <f t="shared" si="13"/>
        <v>0</v>
      </c>
      <c r="K19" s="881">
        <f t="shared" si="13"/>
        <v>0</v>
      </c>
      <c r="L19" s="822">
        <f t="shared" si="13"/>
        <v>3795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11920</v>
      </c>
      <c r="X19" s="821">
        <f t="shared" si="14"/>
        <v>3494</v>
      </c>
      <c r="Y19" s="828">
        <f t="shared" si="14"/>
        <v>14919</v>
      </c>
      <c r="Z19" s="828">
        <f t="shared" si="14"/>
        <v>0</v>
      </c>
      <c r="AA19" s="828">
        <f t="shared" si="14"/>
        <v>2564</v>
      </c>
      <c r="AB19" s="828">
        <f t="shared" si="14"/>
        <v>9003</v>
      </c>
      <c r="AC19" s="828">
        <f t="shared" si="14"/>
        <v>2859</v>
      </c>
      <c r="AD19" s="828">
        <f t="shared" si="14"/>
        <v>0</v>
      </c>
      <c r="AE19" s="830">
        <f t="shared" si="14"/>
        <v>0</v>
      </c>
      <c r="AF19" s="831">
        <f t="shared" si="14"/>
        <v>0</v>
      </c>
      <c r="AG19" s="832">
        <f t="shared" si="14"/>
        <v>0</v>
      </c>
      <c r="AH19" s="830">
        <f t="shared" si="14"/>
        <v>0</v>
      </c>
      <c r="AI19" s="820">
        <f t="shared" si="14"/>
        <v>5467</v>
      </c>
      <c r="AJ19" s="820">
        <f t="shared" si="14"/>
        <v>0</v>
      </c>
      <c r="AK19" s="830">
        <f t="shared" si="14"/>
        <v>0</v>
      </c>
      <c r="AL19" s="884">
        <f>IF(ISNUMBER(NºAsuntos!G19/NºAsuntos!E19),NºAsuntos!G19/NºAsuntos!E19," - ")</f>
        <v>1.0013516050309743</v>
      </c>
      <c r="AM19" s="885">
        <f>IF(ISNUMBER(((NºAsuntos!I19/NºAsuntos!G19)*11)/factor_trimestre),((NºAsuntos!I19/NºAsuntos!G19)*11)/factor_trimestre," - ")</f>
        <v>4.1107195080799368</v>
      </c>
      <c r="AN19" s="885">
        <f>IF(ISNUMBER('Resol  Asuntos'!D19/NºAsuntos!G19),'Resol  Asuntos'!D19/NºAsuntos!G19," - ")</f>
        <v>0.20497919088148175</v>
      </c>
      <c r="AO19" s="886">
        <f>IF(ISNUMBER((NºAsuntos!C19+NºAsuntos!E19)/NºAsuntos!G19),(NºAsuntos!C19+NºAsuntos!E19)/NºAsuntos!G19," - ")</f>
        <v>1.3588916801019835</v>
      </c>
      <c r="AP19" s="887" t="str">
        <f t="shared" si="2"/>
        <v xml:space="preserve"> - </v>
      </c>
      <c r="AQ19" s="888">
        <f>IF(OR(ISNUMBER(FIND("01",Criterios!A8,1)),ISNUMBER(FIND("02",Criterios!A8,1)),ISNUMBER(FIND("03",Criterios!A8,1)),ISNUMBER(FIND("04",Criterios!A8,1))),(I19-W19+K19)/(F19-K19),(H19-W19+K19)/(F19-K19))</f>
        <v>-4.609435421500387</v>
      </c>
      <c r="AR19" s="889">
        <f>IF(ISNUMBER((Datos!P19-Datos!Q19)/(Datos!R19-Datos!P19+Datos!Q19)),(Datos!P19-Datos!Q19)/(Datos!R19-Datos!P19+Datos!Q19)," - ")</f>
        <v>3.4589749482877498E-2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1063.2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3.2956199888808646</v>
      </c>
      <c r="F21" s="252">
        <f>IF(ISNUMBER(STDEV(F8:F18)),STDEV(F8:F18),"-")</f>
        <v>1369.4748385177923</v>
      </c>
      <c r="G21" s="253">
        <f>IF(ISNUMBER(STDEV(G8:G18)),STDEV(G8:G18),"-")</f>
        <v>1284.4014948605441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6016.9712480616026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1581.1691650710334</v>
      </c>
      <c r="AJ21" s="252">
        <f t="shared" si="18"/>
        <v>0</v>
      </c>
      <c r="AK21" s="254">
        <f t="shared" si="18"/>
        <v>0</v>
      </c>
      <c r="AL21" s="249">
        <f t="shared" si="18"/>
        <v>6.0044732677827131E-2</v>
      </c>
      <c r="AM21" s="250">
        <f t="shared" si="18"/>
        <v>3.1734773689076294</v>
      </c>
      <c r="AN21" s="250">
        <f t="shared" si="18"/>
        <v>0.14316593116353715</v>
      </c>
      <c r="AO21" s="251">
        <f t="shared" si="18"/>
        <v>0.29103219386730655</v>
      </c>
      <c r="AP21" s="291" t="str">
        <f t="shared" si="18"/>
        <v>-</v>
      </c>
      <c r="AQ21" s="292">
        <f t="shared" si="18"/>
        <v>2.5934810579605361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tK14zIr0CsAJARDxbWWB0QhHOadSGNb3EJFIkrJp7S6yyIBKhd/tFUIxe6m/mJjIIDvUCrBXKWHM1gCwlysHQ==" saltValue="DhmKOhxhbORcIgDNzmum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BADAJOZ</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1.3760273972602739</v>
      </c>
      <c r="I9" s="350">
        <f>IF(ISNUMBER((Tasas!C9-Datos!BE9)/Datos!BE9),(Tasas!C9-Datos!BE9)/Datos!BE9," - ")</f>
        <v>-0.45061447660809623</v>
      </c>
      <c r="J9" s="349">
        <f>IF(ISNUMBER((Tasas!D9-Datos!BF9)/Datos!BF9),(Tasas!D9-Datos!BF9)/Datos!BF9," - ")</f>
        <v>-0.32756328156732606</v>
      </c>
      <c r="K9" s="351">
        <f>IF(ISNUMBER((Tasas!E9-Datos!BG9)/Datos!BG9),(Tasas!E9-Datos!BG9)/Datos!BG9," - ")</f>
        <v>-0.25818968160418942</v>
      </c>
      <c r="M9" t="e">
        <f>IF(Monitorios="SI",Datos!CE9,0)</f>
        <v>#REF!</v>
      </c>
      <c r="N9" t="e">
        <f>IF(Monitorios="SI",Datos!CF9,0)</f>
        <v>#REF!</v>
      </c>
      <c r="O9" t="e">
        <f>IF(Monitorios="SI",Datos!CG9,0)</f>
        <v>#REF!</v>
      </c>
      <c r="P9" t="e">
        <f>IF(Monitorios="SI",Datos!CH9,0)</f>
        <v>#REF!</v>
      </c>
      <c r="Q9">
        <f>IF(J_V="SI",0,Datos!AG9)</f>
        <v>124</v>
      </c>
      <c r="R9">
        <f>IF(J_V="SI",0,Datos!AH9)</f>
        <v>505</v>
      </c>
      <c r="S9">
        <f>IF(J_V="SI",0,Datos!AI9)</f>
        <v>441</v>
      </c>
      <c r="T9">
        <f>IF(J_V="SI",0,Datos!AJ9)</f>
        <v>179</v>
      </c>
    </row>
    <row r="10" spans="2:20" ht="14.25">
      <c r="B10" s="275" t="s">
        <v>242</v>
      </c>
      <c r="C10" s="7" t="str">
        <f>Datos!A10</f>
        <v>Jdos. Violencia contra la mujer</v>
      </c>
      <c r="D10" s="352">
        <f>IF(ISNUMBER((Datos!I10-Datos!S10)/Datos!S10),(Datos!I10-Datos!S10)/Datos!S10," - ")</f>
        <v>0.50704225352112675</v>
      </c>
      <c r="E10" s="348">
        <f>IF(ISNUMBER((Datos!J10-Datos!T10)/Datos!T10),(Datos!J10-Datos!T10)/Datos!T10," - ")</f>
        <v>-0.21511627906976744</v>
      </c>
      <c r="F10" s="348">
        <f>IF(ISNUMBER((Datos!K10-Datos!U10)/Datos!U10),(Datos!K10-Datos!U10)/Datos!U10," - ")</f>
        <v>-0.13970588235294118</v>
      </c>
      <c r="G10" s="349">
        <f>IF(ISNUMBER((Datos!L10-Datos!V10)/Datos!V10),(Datos!L10-Datos!V10)/Datos!V10," - ")</f>
        <v>0.16822429906542055</v>
      </c>
      <c r="H10" s="230">
        <f>IF(ISNUMBER((Datos!M10-Datos!W10)/Datos!W10),(Datos!M10-Datos!W10)/Datos!W10," - ")</f>
        <v>-0.2807017543859649</v>
      </c>
      <c r="I10" s="350">
        <f>IF(ISNUMBER((Tasas!C10-Datos!BE10)/Datos!BE10),(Tasas!C10-Datos!BE10)/Datos!BE10," - ")</f>
        <v>0.35793593737518969</v>
      </c>
      <c r="J10" s="349">
        <f>IF(ISNUMBER((Tasas!D10-Datos!BF10)/Datos!BF10),(Tasas!D10-Datos!BF10)/Datos!BF10," - ")</f>
        <v>-0.16389263757684819</v>
      </c>
      <c r="K10" s="351">
        <f>IF(ISNUMBER((Tasas!E10-Datos!BG10)/Datos!BG10),(Tasas!E10-Datos!BG10)/Datos!BG10," - ")</f>
        <v>0.15760965143681199</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0.16632860040567951</v>
      </c>
      <c r="I11" s="350">
        <f>IF(ISNUMBER((Tasas!C11-Datos!BE11)/Datos!BE11),(Tasas!C11-Datos!BE11)/Datos!BE11," - ")</f>
        <v>-0.34464029289574349</v>
      </c>
      <c r="J11" s="349">
        <f>IF(ISNUMBER((Tasas!D11-Datos!BF11)/Datos!BF11),(Tasas!D11-Datos!BF11)/Datos!BF11," - ")</f>
        <v>-0.10228110474466369</v>
      </c>
      <c r="K11" s="351">
        <f>IF(ISNUMBER((Tasas!E11-Datos!BG11)/Datos!BG11),(Tasas!E11-Datos!BG11)/Datos!BG11," - ")</f>
        <v>-9.2022945482179305E-2</v>
      </c>
      <c r="M11" t="e">
        <f>IF(Monitorios="SI",Datos!CE11,0)</f>
        <v>#REF!</v>
      </c>
      <c r="N11" t="e">
        <f>IF(Monitorios="SI",Datos!CF11,0)</f>
        <v>#REF!</v>
      </c>
      <c r="O11" t="e">
        <f>IF(Monitorios="SI",Datos!CG11,0)</f>
        <v>#REF!</v>
      </c>
      <c r="P11" t="e">
        <f>IF(Monitorios="SI",Datos!CH11,0)</f>
        <v>#REF!</v>
      </c>
      <c r="Q11">
        <f>IF(J_V="SI",0,Datos!AG11)</f>
        <v>27</v>
      </c>
      <c r="R11">
        <f>IF(J_V="SI",0,Datos!AH11)</f>
        <v>123</v>
      </c>
      <c r="S11">
        <f>IF(J_V="SI",0,Datos!AI11)</f>
        <v>135</v>
      </c>
      <c r="T11">
        <f>IF(J_V="SI",0,Datos!AJ11)</f>
        <v>15</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f>IF(ISNUMBER((Tasas!C12-Datos!BE12)/Datos!BE12),(Tasas!C12-Datos!BE12)/Datos!BE12," - ")</f>
        <v>0.16666666666666674</v>
      </c>
      <c r="J12" s="349" t="str">
        <f>IF(ISNUMBER((Tasas!D12-Datos!BF12)/Datos!BF12),(Tasas!D12-Datos!BF12)/Datos!BF12," - ")</f>
        <v xml:space="preserve"> - </v>
      </c>
      <c r="K12" s="351">
        <f>IF(ISNUMBER((Tasas!E12-Datos!BG12)/Datos!BG12),(Tasas!E12-Datos!BG12)/Datos!BG12," - ")</f>
        <v>4.9999999999999975E-2</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1.0323383084577114</v>
      </c>
      <c r="I13" s="357">
        <f>IF(ISNUMBER((Tasas!C13-Datos!BE13)/Datos!BE13),(Tasas!C13-Datos!BE13)/Datos!BE13," - ")</f>
        <v>-0.42824395181112762</v>
      </c>
      <c r="J13" s="355">
        <f>IF(ISNUMBER((Tasas!D13-Datos!BF13)/Datos!BF13),(Tasas!D13-Datos!BF13)/Datos!BF13," - ")</f>
        <v>-0.31148054663005098</v>
      </c>
      <c r="K13" s="358">
        <f>IF(ISNUMBER((Tasas!E13-Datos!BG13)/Datos!BG13),(Tasas!E13-Datos!BG13)/Datos!BG13," - ")</f>
        <v>-0.23519436285709777</v>
      </c>
      <c r="M13" t="e">
        <f>IF(Monitorios="SI",Datos!CE13,0)</f>
        <v>#REF!</v>
      </c>
      <c r="N13" t="e">
        <f>IF(Monitorios="SI",Datos!CF13,0)</f>
        <v>#REF!</v>
      </c>
      <c r="O13" t="e">
        <f>IF(Monitorios="SI",Datos!CG13,0)</f>
        <v>#REF!</v>
      </c>
      <c r="P13" t="e">
        <f>IF(Monitorios="SI",Datos!CH13,0)</f>
        <v>#REF!</v>
      </c>
      <c r="Q13">
        <f>IF(J_V="SI",0,Datos!AG13)</f>
        <v>151</v>
      </c>
      <c r="R13">
        <f>IF(J_V="SI",0,Datos!AH13)</f>
        <v>628</v>
      </c>
      <c r="S13">
        <f>IF(J_V="SI",0,Datos!AI13)</f>
        <v>576</v>
      </c>
      <c r="T13">
        <f>IF(J_V="SI",0,Datos!AJ13)</f>
        <v>194</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0.90271132376395535</v>
      </c>
      <c r="E15" s="348">
        <f>IF(ISNUMBER(
   IF(D_I="SI",(Datos!J15-Datos!T15)/Datos!T15,(Datos!J15+Datos!AD15-(Datos!T15+Datos!AL15))/(Datos!T15+Datos!AL15))
     ),IF(D_I="SI",(Datos!J15-Datos!T15)/Datos!T15,(Datos!J15+Datos!AD15-(Datos!T15+Datos!AL15))/(Datos!T15+Datos!AL15))," - ")</f>
        <v>-7.8192500432002765E-2</v>
      </c>
      <c r="F15" s="348">
        <f>IF(ISNUMBER(
   IF(D_I="SI",(Datos!K15-Datos!U15)/Datos!U15,(Datos!K15+Datos!AE15-(Datos!U15+Datos!AM15))/(Datos!U15+Datos!AM15))
     ),IF(D_I="SI",(Datos!K15-Datos!U15)/Datos!U15,(Datos!K15+Datos!AE15-(Datos!U15+Datos!AM15))/(Datos!U15+Datos!AM15))," - ")</f>
        <v>3.0021782365754333E-2</v>
      </c>
      <c r="G15" s="349">
        <f>IF(ISNUMBER(
   IF(D_I="SI",(Datos!L15-Datos!V15)/Datos!V15,(Datos!L15+Datos!AF15-(Datos!V15+Datos!AN15))/(Datos!V15+Datos!AN15))
     ),IF(D_I="SI",(Datos!L15-Datos!V15)/Datos!V15,(Datos!L15+Datos!AF15-(Datos!V15+Datos!AN15))/(Datos!V15+Datos!AN15))," - ")</f>
        <v>-4.7778709136630342E-2</v>
      </c>
      <c r="H15" s="230">
        <f>IF(ISNUMBER((Datos!M15-Datos!W15)/Datos!W15),(Datos!M15-Datos!W15)/Datos!W15," - ")</f>
        <v>0.10560146923783287</v>
      </c>
      <c r="I15" s="350">
        <f>IF(ISNUMBER((Tasas!C15-Datos!BE15)/Datos!BE15),(Tasas!C15-Datos!BE15)/Datos!BE15," - ")</f>
        <v>-7.55328604058184E-2</v>
      </c>
      <c r="J15" s="349">
        <f>IF(ISNUMBER((Tasas!D15-Datos!BF15)/Datos!BF15),(Tasas!D15-Datos!BF15)/Datos!BF15," - ")</f>
        <v>7.337678500204832E-2</v>
      </c>
      <c r="K15" s="351">
        <f>IF(ISNUMBER((Tasas!E15-Datos!BG15)/Datos!BG15),(Tasas!E15-Datos!BG15)/Datos!BG15," - ")</f>
        <v>-1.1966850454590052E-2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3.2307692307692308</v>
      </c>
      <c r="E17" s="348">
        <f>IF(ISNUMBER(
   IF(D_I="SI",(Datos!J17-Datos!T17)/Datos!T17,(Datos!J17+Datos!AD17-(Datos!T17+Datos!AL17))/(Datos!T17+Datos!AL17))
     ),IF(D_I="SI",(Datos!J17-Datos!T17)/Datos!T17,(Datos!J17+Datos!AD17-(Datos!T17+Datos!AL17))/(Datos!T17+Datos!AL17))," - ")</f>
        <v>-0.50696677384780275</v>
      </c>
      <c r="F17" s="348">
        <f>IF(ISNUMBER(
   IF(D_I="SI",(Datos!K17-Datos!U17)/Datos!U17,(Datos!K17+Datos!AE17-(Datos!U17+Datos!AM17))/(Datos!U17+Datos!AM17))
     ),IF(D_I="SI",(Datos!K17-Datos!U17)/Datos!U17,(Datos!K17+Datos!AE17-(Datos!U17+Datos!AM17))/(Datos!U17+Datos!AM17))," - ")</f>
        <v>-0.46724137931034482</v>
      </c>
      <c r="G17" s="349">
        <f>IF(ISNUMBER(
   IF(D_I="SI",(Datos!L17-Datos!V17)/Datos!V17,(Datos!L17+Datos!AF17-(Datos!V17+Datos!AN17))/(Datos!V17+Datos!AN17))
     ),IF(D_I="SI",(Datos!L17-Datos!V17)/Datos!V17,(Datos!L17+Datos!AF17-(Datos!V17+Datos!AN17))/(Datos!V17+Datos!AN17))," - ")</f>
        <v>1.2121212121212121E-2</v>
      </c>
      <c r="H17" s="230">
        <f>IF(ISNUMBER((Datos!M17-Datos!W17)/Datos!W17),(Datos!M17-Datos!W17)/Datos!W17," - ")</f>
        <v>-0.11881188118811881</v>
      </c>
      <c r="I17" s="350">
        <f>IF(ISNUMBER((Tasas!C17-Datos!BE17)/Datos!BE17),(Tasas!C17-Datos!BE17)/Datos!BE17," - ")</f>
        <v>0.89977444346376378</v>
      </c>
      <c r="J17" s="349">
        <f>IF(ISNUMBER((Tasas!D17-Datos!BF17)/Datos!BF17),(Tasas!D17-Datos!BF17)/Datos!BF17," - ")</f>
        <v>0.6540100612002947</v>
      </c>
      <c r="K17" s="351">
        <f>IF(ISNUMBER((Tasas!E17-Datos!BG17)/Datos!BG17),(Tasas!E17-Datos!BG17)/Datos!BG17," - ")</f>
        <v>6.9065395951719649E-2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0.97293116782675948</v>
      </c>
      <c r="E18" s="354">
        <f>IF(ISNUMBER(
   IF(D_I="SI",(Datos!J18-Datos!T18)/Datos!T18,(Datos!J18+Datos!AD18-(Datos!T18+Datos!AL18))/(Datos!T18+Datos!AL18))
     ),IF(D_I="SI",(Datos!J18-Datos!T18)/Datos!T18,(Datos!J18+Datos!AD18-(Datos!T18+Datos!AL18))/(Datos!T18+Datos!AL18))," - ")</f>
        <v>-0.1377232142857143</v>
      </c>
      <c r="F18" s="354">
        <f>IF(ISNUMBER(
   IF(D_I="SI",(Datos!K18-Datos!U18)/Datos!U18,(Datos!K18+Datos!AE18-(Datos!U18+Datos!AM18))/(Datos!U18+Datos!AM18))
     ),IF(D_I="SI",(Datos!K18-Datos!U18)/Datos!U18,(Datos!K18+Datos!AE18-(Datos!U18+Datos!AM18))/(Datos!U18+Datos!AM18))," - ")</f>
        <v>-4.0328481990405722E-2</v>
      </c>
      <c r="G18" s="355">
        <f>IF(ISNUMBER(
   IF(D_I="SI",(Datos!L18-Datos!V18)/Datos!V18,(Datos!L18+Datos!AF18-(Datos!V18+Datos!AN18))/(Datos!V18+Datos!AN18))
     ),IF(D_I="SI",(Datos!L18-Datos!V18)/Datos!V18,(Datos!L18+Datos!AF18-(Datos!V18+Datos!AN18))/(Datos!V18+Datos!AN18))," - ")</f>
        <v>-4.3904351234809881E-2</v>
      </c>
      <c r="H18" s="356">
        <f>IF(ISNUMBER((Datos!M18-Datos!W18)/Datos!W18),(Datos!M18-Datos!W18)/Datos!W18," - ")</f>
        <v>7.0487993803253296E-2</v>
      </c>
      <c r="I18" s="357">
        <f>IF(ISNUMBER((Tasas!C18-Datos!BE18)/Datos!BE18),(Tasas!C18-Datos!BE18)/Datos!BE18," - ")</f>
        <v>-3.7261387644604367E-3</v>
      </c>
      <c r="J18" s="355">
        <f>IF(ISNUMBER((Tasas!D18-Datos!BF18)/Datos!BF18),(Tasas!D18-Datos!BF18)/Datos!BF18," - ")</f>
        <v>0.11547334031908942</v>
      </c>
      <c r="K18" s="358">
        <f>IF(ISNUMBER((Tasas!E18-Datos!BG18)/Datos!BG18),(Tasas!E18-Datos!BG18)/Datos!BG18," - ")</f>
        <v>8.2009919180632006E-5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0.70083200566471937</v>
      </c>
      <c r="E19" s="363">
        <f>IF(ISNUMBER(
   IF(J_V="SI",(Datos!J19-Datos!T19)/Datos!T19,(Datos!J19+Datos!Z19-(Datos!T19+Datos!AH19))/(Datos!T19+Datos!AH19))
     ),IF(J_V="SI",(Datos!J19-Datos!T19)/Datos!T19,(Datos!J19+Datos!Z19-(Datos!T19+Datos!AH19))/(Datos!T19+Datos!AH19))," - ")</f>
        <v>8.3869129974770085E-2</v>
      </c>
      <c r="F19" s="363">
        <f>IF(ISNUMBER(
   IF(J_V="SI",(Datos!K19-Datos!U19)/Datos!U19,(Datos!K19+Datos!AA19-(Datos!U19+Datos!AI19))/(Datos!U19+Datos!AI19))
     ),IF(J_V="SI",(Datos!K19-Datos!U19)/Datos!U19,(Datos!K19+Datos!AA19-(Datos!U19+Datos!AI19))/(Datos!U19+Datos!AI19))," - ")</f>
        <v>0.31591671600552595</v>
      </c>
      <c r="G19" s="364">
        <f>IF(ISNUMBER(
   IF(J_V="SI",(Datos!L19-Datos!V19)/Datos!V19,(Datos!L19+Datos!AB19-(Datos!V19+Datos!AJ19))/(Datos!V19+Datos!AJ19))
     ),IF(J_V="SI",(Datos!L19-Datos!V19)/Datos!V19,(Datos!L19+Datos!AB19-(Datos!V19+Datos!AJ19))/(Datos!V19+Datos!AJ19))," - ")</f>
        <v>3.7364696086594505E-2</v>
      </c>
      <c r="H19" s="365">
        <f>IF(ISNUMBER((Datos!M19-Datos!W19)/Datos!W19),(Datos!M19-Datos!W19)/Datos!W19," - ")</f>
        <v>0.65616479854589516</v>
      </c>
      <c r="I19" s="362">
        <f>IF(ISNUMBER((Tasas!C19-Datos!BE19)/Datos!BE19),(Tasas!C19-Datos!BE19)/Datos!BE19," - ")</f>
        <v>-0.211679064891339</v>
      </c>
      <c r="J19" s="363">
        <f>IF(ISNUMBER((Tasas!D19-Datos!BF19)/Datos!BF19),(Tasas!D19-Datos!BF19)/Datos!BF19," - ")</f>
        <v>-7.0785452743039143E-2</v>
      </c>
      <c r="K19" s="364">
        <f>IF(ISNUMBER((Tasas!E19-Datos!BG19)/Datos!BG19),(Tasas!E19-Datos!BG19)/Datos!BG19," - ")</f>
        <v>-8.8706727581411529E-2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1.2354119523311042</v>
      </c>
      <c r="E21" s="278">
        <f t="shared" si="1"/>
        <v>0.19009791526310804</v>
      </c>
      <c r="F21" s="278">
        <f t="shared" si="1"/>
        <v>0.21993129290644534</v>
      </c>
      <c r="G21" s="279">
        <f t="shared" si="1"/>
        <v>0.1011458981493444</v>
      </c>
      <c r="H21" s="285">
        <f t="shared" si="1"/>
        <v>0.61995797494156801</v>
      </c>
      <c r="I21" s="277">
        <f t="shared" si="1"/>
        <v>0.45897142331753837</v>
      </c>
      <c r="J21" s="278">
        <f t="shared" si="1"/>
        <v>0.33850947021393696</v>
      </c>
      <c r="K21" s="279">
        <f t="shared" si="1"/>
        <v>0.14631237408922412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1lFm3OcT1F95WB61BqNgIE/uurEkx91AD38FasVnRUmPzPXNYnQlM7VeAiQTIZZCvdGDkxawM9Xvv55PJQ0Cw==" saltValue="PwE9xh/dEzIhJZwr1HSP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EXTREMADURA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1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5.6058714232627285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107</v>
      </c>
      <c r="D10" s="225">
        <f>IF(ISNUMBER(Datos!I10),Datos!I10," - ")</f>
        <v>107</v>
      </c>
      <c r="E10" s="226">
        <f>IF(ISNUMBER(Datos!J10),Datos!J10," - ")</f>
        <v>135</v>
      </c>
      <c r="F10" s="226">
        <f>IF(ISNUMBER(Datos!K10),Datos!K10," - ")</f>
        <v>117</v>
      </c>
      <c r="G10" s="1034" t="str">
        <f>IF(Datos!E10&lt;&gt;"",Datos!E10,Datos!D10)</f>
        <v>37</v>
      </c>
      <c r="H10" s="227">
        <f>IF(ISNUMBER(Datos!L10),Datos!L10," - ")</f>
        <v>125</v>
      </c>
      <c r="I10" s="1044" t="str">
        <f>IF(ISNUMBER(Datos!AS10/Datos!BM10),Datos!AS10/Datos!BM10," - ")</f>
        <v xml:space="preserve"> - </v>
      </c>
      <c r="J10" s="1045">
        <f>IF(ISNUMBER(Datos!BY10/Datos!CN10),Datos!BY10/Datos!CN10," - ")</f>
        <v>0</v>
      </c>
      <c r="K10" s="230">
        <f t="shared" ref="K10:K12" si="1">IF(ISNUMBER((E10-F10)/C10),(E10-F10)/C10," - ")</f>
        <v>0.16822429906542055</v>
      </c>
      <c r="L10" s="1025">
        <f>IF(ISNUMBER(NºAsuntos!I10/NºAsuntos!G10),(NºAsuntos!I10/NºAsuntos!G10)*11," - ")</f>
        <v>11.752136752136751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4.6329211746522407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107</v>
      </c>
      <c r="D13" s="1049">
        <f>SUBTOTAL(9,D9:D12)</f>
        <v>107</v>
      </c>
      <c r="E13" s="1050">
        <f>SUBTOTAL(9,E9:E12)</f>
        <v>135</v>
      </c>
      <c r="F13" s="1051">
        <f>SUBTOTAL(9,F9:F12)</f>
        <v>117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2479</v>
      </c>
      <c r="D15" s="225">
        <f>IF(ISNUMBER(IF(D_I="SI",Datos!I15,Datos!I15+Datos!AC15)),IF(D_I="SI",Datos!I15,Datos!I15+Datos!AC15)," - ")</f>
        <v>2386</v>
      </c>
      <c r="E15" s="226">
        <f>IF(ISNUMBER(IF(D_I="SI",Datos!J15,Datos!J15+Datos!AD15)),IF(D_I="SI",Datos!J15,Datos!J15+Datos!AD15)," - ")</f>
        <v>10669</v>
      </c>
      <c r="F15" s="226">
        <f>IF(ISNUMBER(IF(D_I="SI",Datos!K15,Datos!K15+Datos!AE15)),IF(D_I="SI",Datos!K15,Datos!K15+Datos!AE15)," - ")</f>
        <v>10876</v>
      </c>
      <c r="G15" s="1034" t="str">
        <f>IF(Datos!E15&lt;&gt;"",Datos!E15,Datos!D15)</f>
        <v>03</v>
      </c>
      <c r="H15" s="227">
        <f>IF(ISNUMBER(IF(D_I="SI",Datos!L15,Datos!L15+Datos!AF15)),IF(D_I="SI",Datos!L15,Datos!L15+Datos!AF15)," - ")</f>
        <v>2272</v>
      </c>
      <c r="I15" s="1044" t="str">
        <f>IF(ISNUMBER(Datos!AS15/Datos!BM15),Datos!AS15/Datos!BM15," - ")</f>
        <v xml:space="preserve"> - </v>
      </c>
      <c r="J15" s="1045">
        <f>IF(ISNUMBER(Datos!BY15/Datos!CN15),Datos!BY15/Datos!CN15," - ")</f>
        <v>0</v>
      </c>
      <c r="K15" s="230">
        <f t="shared" ref="K15:K17" si="3">IF(ISNUMBER((E15-F15)/C15),(E15-F15)/C15," - ")</f>
        <v>-8.3501411859620817E-2</v>
      </c>
      <c r="L15" s="1025">
        <f>IF(ISNUMBER(NºAsuntos!I15/NºAsuntos!G15),(NºAsuntos!I15/NºAsuntos!G15)*11," - ")</f>
        <v>2.2979036410445017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174</v>
      </c>
      <c r="D17" s="225">
        <f>IF(ISNUMBER(IF(D_I="SI",Datos!I17,Datos!I17+Datos!AC17)),IF(D_I="SI",Datos!I17,Datos!I17+Datos!AC17)," - ")</f>
        <v>165</v>
      </c>
      <c r="E17" s="226">
        <f>IF(ISNUMBER(IF(D_I="SI",Datos!J17,Datos!J17+Datos!AD17)),IF(D_I="SI",Datos!J17,Datos!J17+Datos!AD17)," - ")</f>
        <v>920</v>
      </c>
      <c r="F17" s="226">
        <f>IF(ISNUMBER(IF(D_I="SI",Datos!K17,Datos!K17+Datos!AE17)),IF(D_I="SI",Datos!K17,Datos!K17+Datos!AE17)," - ")</f>
        <v>927</v>
      </c>
      <c r="G17" s="1034" t="str">
        <f>IF(Datos!E17&lt;&gt;"",Datos!E17,Datos!D17)</f>
        <v>37</v>
      </c>
      <c r="H17" s="227">
        <f>IF(ISNUMBER(IF(D_I="SI",Datos!L17,Datos!L17+Datos!AF17)),IF(D_I="SI",Datos!L17,Datos!L17+Datos!AF17)," - ")</f>
        <v>167</v>
      </c>
      <c r="I17" s="1044" t="str">
        <f>IF(ISNUMBER(Datos!AS17/Datos!BM17),Datos!AS17/Datos!BM17," - ")</f>
        <v xml:space="preserve"> - </v>
      </c>
      <c r="J17" s="1045" t="str">
        <f>IF(ISNUMBER((Datos!BY17+Datos!BZ17)/Datos!CN17),(Datos!BY17+Datos!BZ17)/Datos!CN17," - ")</f>
        <v xml:space="preserve"> - </v>
      </c>
      <c r="K17" s="230">
        <f t="shared" si="3"/>
        <v>-4.0229885057471264E-2</v>
      </c>
      <c r="L17" s="1025">
        <f>IF(ISNUMBER(NºAsuntos!I17/NºAsuntos!G17),(NºAsuntos!I17/NºAsuntos!G17)*11," - ")</f>
        <v>1.9816612729234087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2653</v>
      </c>
      <c r="D18" s="1049">
        <f>SUBTOTAL(9,D15:D17)</f>
        <v>2551</v>
      </c>
      <c r="E18" s="1050">
        <f>SUBTOTAL(9,E15:E17)</f>
        <v>11589</v>
      </c>
      <c r="F18" s="1050">
        <f>SUBTOTAL(9,F15:F17)</f>
        <v>11803</v>
      </c>
      <c r="G18" s="1052" t="str">
        <f ca="1">INDIRECT(CONCATENATE("G",ROW()-1))</f>
        <v>37</v>
      </c>
      <c r="H18" s="1053">
        <f ca="1">SUMIF(G$14:G17,G18,H$14:H17)</f>
        <v>167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2760</v>
      </c>
      <c r="D19" s="1071">
        <f>SUBTOTAL(9,D9:D18)</f>
        <v>2658</v>
      </c>
      <c r="E19" s="1072">
        <f>SUBTOTAL(9,E9:E18)</f>
        <v>11724</v>
      </c>
      <c r="F19" s="1072">
        <f>SUBTOTAL(9,F9:F18)</f>
        <v>11920</v>
      </c>
      <c r="G19" s="1073"/>
      <c r="H19" s="1074">
        <f ca="1">SUMIF(B9:B18,"TOTAL",H9:H18)</f>
        <v>167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Ld3ZZE7Z/3kJglzQ6tuqjjd6o9aEUqqMR2UfTOtu/2ww1ZaQp5h4rZ7dfx0+IUdJfS/UgJzSRUs45H8gl/Yh+Q==" saltValue="WBHhMOaa1N/oxIycNGUd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h+aQkXZBdJfMZOwMILRT+7yzkkPwRASzuLZnN8yo3Rb3wNSMbwhUKFQcXuNbFoB4Cpx7a8HRWXafyr52mfTd3w==" saltValue="Bro9Dnl5h3V6CaZ2T9e+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6063</v>
      </c>
      <c r="J9" s="181">
        <v>13237</v>
      </c>
      <c r="K9" s="181">
        <v>12887</v>
      </c>
      <c r="L9" s="181">
        <v>6797</v>
      </c>
      <c r="M9" s="181">
        <v>3469</v>
      </c>
      <c r="N9" s="181">
        <v>4756</v>
      </c>
      <c r="O9" s="181">
        <v>6023</v>
      </c>
      <c r="P9" s="181">
        <v>3036</v>
      </c>
      <c r="Q9" s="181">
        <v>2678</v>
      </c>
      <c r="R9" s="181">
        <v>8259</v>
      </c>
      <c r="S9" s="181">
        <v>3606</v>
      </c>
      <c r="T9" s="181">
        <v>9200</v>
      </c>
      <c r="U9" s="181">
        <v>6288</v>
      </c>
      <c r="V9" s="181">
        <v>6063</v>
      </c>
      <c r="W9" s="181">
        <v>1460</v>
      </c>
      <c r="X9" s="188">
        <v>2580</v>
      </c>
      <c r="Y9" s="191">
        <v>179</v>
      </c>
      <c r="Z9" s="181">
        <v>449</v>
      </c>
      <c r="AA9" s="181">
        <v>568</v>
      </c>
      <c r="AB9" s="181">
        <v>60</v>
      </c>
      <c r="AC9" s="181">
        <v>0</v>
      </c>
      <c r="AD9" s="181">
        <v>0</v>
      </c>
      <c r="AE9" s="181">
        <v>0</v>
      </c>
      <c r="AF9" s="188">
        <v>0</v>
      </c>
      <c r="AG9" s="191">
        <v>124</v>
      </c>
      <c r="AH9" s="181">
        <v>505</v>
      </c>
      <c r="AI9" s="181">
        <v>441</v>
      </c>
      <c r="AJ9" s="192">
        <v>179</v>
      </c>
      <c r="AK9" s="180">
        <v>0</v>
      </c>
      <c r="AL9" s="181">
        <v>0</v>
      </c>
      <c r="AM9" s="181">
        <v>0</v>
      </c>
      <c r="AN9" s="188">
        <v>0</v>
      </c>
      <c r="AO9" s="258">
        <v>7</v>
      </c>
      <c r="AP9" s="154">
        <v>7</v>
      </c>
      <c r="AQ9" s="154">
        <v>7</v>
      </c>
      <c r="AR9" s="193">
        <v>7</v>
      </c>
      <c r="AS9" s="338" t="s">
        <v>794</v>
      </c>
      <c r="AT9" s="195"/>
      <c r="AU9" s="194"/>
      <c r="AV9" s="195"/>
      <c r="AW9" s="194"/>
      <c r="AX9" s="195"/>
      <c r="AY9" s="123">
        <f>IF(ISNUMBER(IF(J_V="SI",S9,S9+AG9)),IF(J_V="SI",S9,S9+AG9)," - ")</f>
        <v>3730</v>
      </c>
      <c r="AZ9" s="123">
        <f>IF(ISNUMBER(IF(J_V="SI",T9,T9+AH9)),IF(J_V="SI",T9,T9+AH9)," - ")</f>
        <v>9705</v>
      </c>
      <c r="BA9" s="124">
        <f>IF(ISNUMBER(IF(J_V="SI",U9,U9+AI9)),IF(J_V="SI",U9,U9+AI9)," - ")</f>
        <v>6729</v>
      </c>
      <c r="BB9" s="124">
        <f>IF(ISNUMBER(IF(J_V="SI",V9,V9+AJ9)),IF(J_V="SI",V9,V9+AJ9)," - ")</f>
        <v>6242</v>
      </c>
      <c r="BC9" s="125">
        <f>IF(ISNUMBER(X9),X9," - ")</f>
        <v>2580</v>
      </c>
      <c r="BD9" s="126">
        <f>IF(ISNUMBER(BA9/AZ9),BA9/AZ9," - ")</f>
        <v>0.69335394126738792</v>
      </c>
      <c r="BE9" s="127">
        <f>IF(ISNUMBER(BB9/BA9),BB9/BA9, " - ")</f>
        <v>0.92762669044434543</v>
      </c>
      <c r="BF9" s="127">
        <f>IF(ISNUMBER(BC9/BA9),BC9/BA9, " - ")</f>
        <v>0.38341506910387874</v>
      </c>
      <c r="BG9" s="196">
        <f>IF(ISNUMBER((AY9+AZ9)/BA9),(AY9+AZ9)/BA9," - ")</f>
        <v>1.9965819586862832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107</v>
      </c>
      <c r="J10" s="181">
        <v>135</v>
      </c>
      <c r="K10" s="181">
        <v>117</v>
      </c>
      <c r="L10" s="181">
        <v>125</v>
      </c>
      <c r="M10" s="181">
        <v>41</v>
      </c>
      <c r="N10" s="181">
        <v>39</v>
      </c>
      <c r="O10" s="181">
        <v>52</v>
      </c>
      <c r="P10" s="181">
        <v>41</v>
      </c>
      <c r="Q10" s="181">
        <v>37</v>
      </c>
      <c r="R10" s="181">
        <v>88</v>
      </c>
      <c r="S10" s="181">
        <v>71</v>
      </c>
      <c r="T10" s="181">
        <v>172</v>
      </c>
      <c r="U10" s="181">
        <v>136</v>
      </c>
      <c r="V10" s="181">
        <v>107</v>
      </c>
      <c r="W10" s="181">
        <v>57</v>
      </c>
      <c r="X10" s="188">
        <v>47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71</v>
      </c>
      <c r="AZ10" s="129">
        <f t="shared" si="0"/>
        <v>172</v>
      </c>
      <c r="BA10" s="129">
        <f t="shared" si="0"/>
        <v>136</v>
      </c>
      <c r="BB10" s="129">
        <f t="shared" si="0"/>
        <v>107</v>
      </c>
      <c r="BC10" s="125">
        <f t="shared" si="0"/>
        <v>57</v>
      </c>
      <c r="BD10" s="126">
        <f>IF(ISNUMBER(BA10/AZ10),BA10/AZ10," - ")</f>
        <v>0.79069767441860461</v>
      </c>
      <c r="BE10" s="127">
        <f>IF(ISNUMBER(BB10/BA10),BB10/BA10, " - ")</f>
        <v>0.78676470588235292</v>
      </c>
      <c r="BF10" s="127">
        <f>IF(ISNUMBER(BC10/BA10),BC10/BA10, " - ")</f>
        <v>0.41911764705882354</v>
      </c>
      <c r="BG10" s="196">
        <f>IF(ISNUMBER((AY10+AZ10)/BA10),(AY10+AZ10)/BA10," - ")</f>
        <v>1.786764705882353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690</v>
      </c>
      <c r="J11" s="183">
        <v>1121</v>
      </c>
      <c r="K11" s="183">
        <v>1198</v>
      </c>
      <c r="L11" s="183">
        <v>523</v>
      </c>
      <c r="M11" s="183">
        <v>575</v>
      </c>
      <c r="N11" s="183">
        <v>723</v>
      </c>
      <c r="O11" s="181">
        <v>284</v>
      </c>
      <c r="P11" s="183">
        <v>235</v>
      </c>
      <c r="Q11" s="183">
        <v>245</v>
      </c>
      <c r="R11" s="183">
        <v>425</v>
      </c>
      <c r="S11" s="183">
        <v>521</v>
      </c>
      <c r="T11" s="183">
        <v>1131</v>
      </c>
      <c r="U11" s="183">
        <v>962</v>
      </c>
      <c r="V11" s="183">
        <v>690</v>
      </c>
      <c r="W11" s="183">
        <v>493</v>
      </c>
      <c r="X11" s="189">
        <v>543</v>
      </c>
      <c r="Y11" s="191">
        <v>15</v>
      </c>
      <c r="Z11" s="181">
        <v>104</v>
      </c>
      <c r="AA11" s="181">
        <v>96</v>
      </c>
      <c r="AB11" s="181">
        <v>22</v>
      </c>
      <c r="AC11" s="183">
        <v>0</v>
      </c>
      <c r="AD11" s="183">
        <v>0</v>
      </c>
      <c r="AE11" s="183">
        <v>0</v>
      </c>
      <c r="AF11" s="189">
        <v>0</v>
      </c>
      <c r="AG11" s="202">
        <v>27</v>
      </c>
      <c r="AH11" s="183">
        <v>123</v>
      </c>
      <c r="AI11" s="183">
        <v>135</v>
      </c>
      <c r="AJ11" s="203">
        <v>15</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548</v>
      </c>
      <c r="AZ11" s="127">
        <f t="shared" si="1"/>
        <v>1254</v>
      </c>
      <c r="BA11" s="127">
        <f t="shared" si="1"/>
        <v>1097</v>
      </c>
      <c r="BB11" s="127">
        <f t="shared" si="1"/>
        <v>705</v>
      </c>
      <c r="BC11" s="125">
        <f>IF(ISNUMBER(X11),X11," - ")</f>
        <v>543</v>
      </c>
      <c r="BD11" s="126">
        <f t="shared" ref="BD11:BD12" si="2">IF(ISNUMBER(BA11/AZ11),BA11/AZ11," - ")</f>
        <v>0.87480063795853269</v>
      </c>
      <c r="BE11" s="127">
        <f t="shared" ref="BE11:BE12" si="3">IF(ISNUMBER(BB11/BA11),BB11/BA11, " - ")</f>
        <v>0.6426618049225159</v>
      </c>
      <c r="BF11" s="127">
        <f t="shared" ref="BF11:BF12" si="4">IF(ISNUMBER(BC11/BA11),BC11/BA11, " - ")</f>
        <v>0.49498632634457612</v>
      </c>
      <c r="BG11" s="196">
        <f t="shared" ref="BG11:BG12" si="5">IF(ISNUMBER((AY11+AZ11)/BA11),(AY11+AZ11)/BA11," - ")</f>
        <v>1.6426618049225159</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3</v>
      </c>
      <c r="J12" s="183">
        <v>0</v>
      </c>
      <c r="K12" s="183">
        <v>2</v>
      </c>
      <c r="L12" s="183">
        <v>1</v>
      </c>
      <c r="M12" s="183">
        <v>0</v>
      </c>
      <c r="N12" s="183">
        <v>0</v>
      </c>
      <c r="O12" s="181">
        <v>2</v>
      </c>
      <c r="P12" s="183">
        <v>2</v>
      </c>
      <c r="Q12" s="183">
        <v>7</v>
      </c>
      <c r="R12" s="183">
        <v>24</v>
      </c>
      <c r="S12" s="183">
        <v>7</v>
      </c>
      <c r="T12" s="183">
        <v>3</v>
      </c>
      <c r="U12" s="183">
        <v>7</v>
      </c>
      <c r="V12" s="183">
        <v>3</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7</v>
      </c>
      <c r="AZ12" s="127">
        <f t="shared" si="1"/>
        <v>3</v>
      </c>
      <c r="BA12" s="127">
        <f t="shared" si="1"/>
        <v>7</v>
      </c>
      <c r="BB12" s="127">
        <f t="shared" si="1"/>
        <v>3</v>
      </c>
      <c r="BC12" s="125">
        <f>IF(ISNUMBER(X12),X12," - ")</f>
        <v>0</v>
      </c>
      <c r="BD12" s="126">
        <f t="shared" si="2"/>
        <v>2.3333333333333335</v>
      </c>
      <c r="BE12" s="127">
        <f t="shared" si="3"/>
        <v>0.42857142857142855</v>
      </c>
      <c r="BF12" s="127">
        <f t="shared" si="4"/>
        <v>0</v>
      </c>
      <c r="BG12" s="196">
        <f t="shared" si="5"/>
        <v>1.4285714285714286</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6863</v>
      </c>
      <c r="J13" s="184">
        <f t="shared" si="6"/>
        <v>14493</v>
      </c>
      <c r="K13" s="184">
        <f t="shared" si="6"/>
        <v>14204</v>
      </c>
      <c r="L13" s="184">
        <f t="shared" si="6"/>
        <v>7446</v>
      </c>
      <c r="M13" s="184">
        <f t="shared" si="6"/>
        <v>4085</v>
      </c>
      <c r="N13" s="184">
        <f t="shared" si="6"/>
        <v>5518</v>
      </c>
      <c r="O13" s="184">
        <f t="shared" si="6"/>
        <v>6361</v>
      </c>
      <c r="P13" s="184">
        <f t="shared" si="6"/>
        <v>3314</v>
      </c>
      <c r="Q13" s="184">
        <f t="shared" si="6"/>
        <v>2967</v>
      </c>
      <c r="R13" s="184">
        <f t="shared" si="6"/>
        <v>8796</v>
      </c>
      <c r="S13" s="184">
        <f t="shared" si="6"/>
        <v>4205</v>
      </c>
      <c r="T13" s="184">
        <f t="shared" si="6"/>
        <v>10506</v>
      </c>
      <c r="U13" s="184">
        <f t="shared" si="6"/>
        <v>7393</v>
      </c>
      <c r="V13" s="184">
        <f t="shared" si="6"/>
        <v>6863</v>
      </c>
      <c r="W13" s="184">
        <f t="shared" si="6"/>
        <v>2010</v>
      </c>
      <c r="X13" s="184">
        <f t="shared" si="6"/>
        <v>3170</v>
      </c>
      <c r="Y13" s="184">
        <f t="shared" si="6"/>
        <v>194</v>
      </c>
      <c r="Z13" s="184">
        <f t="shared" si="6"/>
        <v>553</v>
      </c>
      <c r="AA13" s="184">
        <f t="shared" si="6"/>
        <v>664</v>
      </c>
      <c r="AB13" s="184">
        <f t="shared" si="6"/>
        <v>82</v>
      </c>
      <c r="AC13" s="184">
        <f t="shared" si="6"/>
        <v>0</v>
      </c>
      <c r="AD13" s="184">
        <f t="shared" si="6"/>
        <v>0</v>
      </c>
      <c r="AE13" s="184">
        <f t="shared" si="6"/>
        <v>0</v>
      </c>
      <c r="AF13" s="184">
        <f>SUBTOTAL(9,AF9:AF12)</f>
        <v>0</v>
      </c>
      <c r="AG13" s="184">
        <f t="shared" ref="AG13:AT13" si="7">SUBTOTAL(9,AG8:AG12)</f>
        <v>151</v>
      </c>
      <c r="AH13" s="184">
        <f t="shared" si="7"/>
        <v>628</v>
      </c>
      <c r="AI13" s="184">
        <f t="shared" si="7"/>
        <v>576</v>
      </c>
      <c r="AJ13" s="184">
        <f t="shared" si="7"/>
        <v>194</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4356</v>
      </c>
      <c r="AZ13" s="184">
        <f>SUBTOTAL(9,AZ8:AZ12)</f>
        <v>11134</v>
      </c>
      <c r="BA13" s="184">
        <f>SUBTOTAL(9,BA8:BA12)</f>
        <v>7969</v>
      </c>
      <c r="BB13" s="184">
        <f>SUBTOTAL(9,BB8:BB12)</f>
        <v>7057</v>
      </c>
      <c r="BC13" s="184">
        <f>SUBTOTAL(9,BC8:BC12)</f>
        <v>3180</v>
      </c>
      <c r="BD13" s="205">
        <f>IF(ISNUMBER(BA13/AZ13),BA13/AZ13," - ")</f>
        <v>0.71573558469552723</v>
      </c>
      <c r="BE13" s="206">
        <f>IF(ISNUMBER(BB13/BA13),BB13/BA13, " - ")</f>
        <v>0.88555653155979419</v>
      </c>
      <c r="BF13" s="206">
        <f>IF(ISNUMBER(BC13/BA13),BC13/BA13, " - ")</f>
        <v>0.39904630442966493</v>
      </c>
      <c r="BG13" s="207">
        <f>IF(ISNUMBER((AY13+AZ13)/BA13),(AY13+AZ13)/BA13," - ")</f>
        <v>1.9437821558539341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2386</v>
      </c>
      <c r="J15" s="183">
        <v>10669</v>
      </c>
      <c r="K15" s="183">
        <v>10876</v>
      </c>
      <c r="L15" s="183">
        <v>2272</v>
      </c>
      <c r="M15" s="183">
        <v>1204</v>
      </c>
      <c r="N15" s="183">
        <v>7001</v>
      </c>
      <c r="O15" s="181">
        <v>194</v>
      </c>
      <c r="P15" s="183">
        <v>451</v>
      </c>
      <c r="Q15" s="183">
        <v>495</v>
      </c>
      <c r="R15" s="183">
        <v>193</v>
      </c>
      <c r="S15" s="183">
        <v>1254</v>
      </c>
      <c r="T15" s="183">
        <v>11574</v>
      </c>
      <c r="U15" s="183">
        <v>10559</v>
      </c>
      <c r="V15" s="183">
        <v>2386</v>
      </c>
      <c r="W15" s="183">
        <v>1089</v>
      </c>
      <c r="X15" s="189">
        <v>7264</v>
      </c>
      <c r="Y15" s="202">
        <v>0</v>
      </c>
      <c r="Z15" s="183">
        <v>0</v>
      </c>
      <c r="AA15" s="183">
        <v>0</v>
      </c>
      <c r="AB15" s="183">
        <v>0</v>
      </c>
      <c r="AC15" s="183">
        <v>10</v>
      </c>
      <c r="AD15" s="183">
        <v>859</v>
      </c>
      <c r="AE15" s="183">
        <v>867</v>
      </c>
      <c r="AF15" s="189">
        <v>2</v>
      </c>
      <c r="AG15" s="202">
        <v>0</v>
      </c>
      <c r="AH15" s="183">
        <v>0</v>
      </c>
      <c r="AI15" s="183">
        <v>0</v>
      </c>
      <c r="AJ15" s="203">
        <v>0</v>
      </c>
      <c r="AK15" s="182">
        <v>3</v>
      </c>
      <c r="AL15" s="183">
        <v>785</v>
      </c>
      <c r="AM15" s="183">
        <v>778</v>
      </c>
      <c r="AN15" s="189">
        <v>10</v>
      </c>
      <c r="AO15" s="259">
        <v>4</v>
      </c>
      <c r="AP15" s="155">
        <v>4</v>
      </c>
      <c r="AQ15" s="155">
        <v>4</v>
      </c>
      <c r="AR15" s="155">
        <v>4</v>
      </c>
      <c r="AS15" s="340" t="s">
        <v>522</v>
      </c>
      <c r="AT15" s="203" t="s">
        <v>322</v>
      </c>
      <c r="AU15" s="202"/>
      <c r="AV15" s="203"/>
      <c r="AW15" s="202"/>
      <c r="AX15" s="203"/>
      <c r="AY15" s="128">
        <f t="shared" ref="AY15:BB16" si="9">IF(ISNUMBER(IF(D_I="SI",S15,S15+AK15)),IF(D_I="SI",S15,S15+AK15)," - ")</f>
        <v>1254</v>
      </c>
      <c r="AZ15" s="129">
        <f t="shared" si="9"/>
        <v>11574</v>
      </c>
      <c r="BA15" s="129">
        <f t="shared" si="9"/>
        <v>10559</v>
      </c>
      <c r="BB15" s="129">
        <f t="shared" si="9"/>
        <v>2386</v>
      </c>
      <c r="BC15" s="125">
        <f>IF(ISNUMBER(W15),W15," - ")</f>
        <v>1089</v>
      </c>
      <c r="BD15" s="126">
        <f>IF(ISNUMBER(BA15/AZ15),BA15/AZ15," - ")</f>
        <v>0.91230343874200792</v>
      </c>
      <c r="BE15" s="127">
        <f>IF(ISNUMBER(BB15/BA15),BB15/BA15, " - ")</f>
        <v>0.2259683682166872</v>
      </c>
      <c r="BF15" s="127">
        <f>IF(ISNUMBER(BC15/BA15),BC15/BA15, " - ")</f>
        <v>0.10313476654986267</v>
      </c>
      <c r="BG15" s="196">
        <f t="shared" ref="BG15:BG16" si="10">IF(ISNUMBER((AY15+AZ15)/BA15),(AY15+AZ15)/BA15," - ")</f>
        <v>1.214887773463396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165</v>
      </c>
      <c r="J17" s="183">
        <v>920</v>
      </c>
      <c r="K17" s="183">
        <v>927</v>
      </c>
      <c r="L17" s="183">
        <v>167</v>
      </c>
      <c r="M17" s="183">
        <v>178</v>
      </c>
      <c r="N17" s="183">
        <v>661</v>
      </c>
      <c r="O17" s="183">
        <v>22</v>
      </c>
      <c r="P17" s="183">
        <v>30</v>
      </c>
      <c r="Q17" s="183">
        <v>32</v>
      </c>
      <c r="R17" s="183">
        <v>14</v>
      </c>
      <c r="S17" s="183">
        <v>39</v>
      </c>
      <c r="T17" s="183">
        <v>1866</v>
      </c>
      <c r="U17" s="183">
        <v>1740</v>
      </c>
      <c r="V17" s="183">
        <v>165</v>
      </c>
      <c r="W17" s="183">
        <v>202</v>
      </c>
      <c r="X17" s="189">
        <v>508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39</v>
      </c>
      <c r="AZ17" s="129">
        <f t="shared" si="14"/>
        <v>1866</v>
      </c>
      <c r="BA17" s="129">
        <f t="shared" si="14"/>
        <v>1740</v>
      </c>
      <c r="BB17" s="129">
        <f t="shared" si="14"/>
        <v>165</v>
      </c>
      <c r="BC17" s="125">
        <f>IF(ISNUMBER(W17),W17," - ")</f>
        <v>202</v>
      </c>
      <c r="BD17" s="126">
        <f>IF(ISNUMBER(BA17/AZ17),BA17/AZ17," - ")</f>
        <v>0.932475884244373</v>
      </c>
      <c r="BE17" s="127">
        <f>IF(ISNUMBER(BB17/BA17),BB17/BA17, " - ")</f>
        <v>9.4827586206896547E-2</v>
      </c>
      <c r="BF17" s="127">
        <f>IF(ISNUMBER(BC17/BA17),BC17/BA17, " - ")</f>
        <v>0.11609195402298851</v>
      </c>
      <c r="BG17" s="196">
        <f>IF(ISNUMBER((AY17+AZ17)/BA17),(AY17+AZ17)/BA17," - ")</f>
        <v>1.0948275862068966</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2551</v>
      </c>
      <c r="J18" s="184">
        <f t="shared" si="15"/>
        <v>11589</v>
      </c>
      <c r="K18" s="184">
        <f t="shared" si="15"/>
        <v>11803</v>
      </c>
      <c r="L18" s="184">
        <f t="shared" si="15"/>
        <v>2439</v>
      </c>
      <c r="M18" s="184">
        <f t="shared" si="15"/>
        <v>1382</v>
      </c>
      <c r="N18" s="184">
        <f t="shared" si="15"/>
        <v>7662</v>
      </c>
      <c r="O18" s="184">
        <f t="shared" si="15"/>
        <v>216</v>
      </c>
      <c r="P18" s="184">
        <f t="shared" si="15"/>
        <v>481</v>
      </c>
      <c r="Q18" s="184">
        <f t="shared" si="15"/>
        <v>527</v>
      </c>
      <c r="R18" s="184">
        <f t="shared" si="15"/>
        <v>207</v>
      </c>
      <c r="S18" s="184">
        <f t="shared" si="15"/>
        <v>1293</v>
      </c>
      <c r="T18" s="184">
        <f t="shared" si="15"/>
        <v>13440</v>
      </c>
      <c r="U18" s="184">
        <f t="shared" si="15"/>
        <v>12299</v>
      </c>
      <c r="V18" s="184">
        <f t="shared" si="15"/>
        <v>2551</v>
      </c>
      <c r="W18" s="184">
        <f t="shared" si="15"/>
        <v>1291</v>
      </c>
      <c r="X18" s="184">
        <f t="shared" si="15"/>
        <v>7772</v>
      </c>
      <c r="Y18" s="184">
        <f t="shared" si="15"/>
        <v>0</v>
      </c>
      <c r="Z18" s="184">
        <f t="shared" si="15"/>
        <v>0</v>
      </c>
      <c r="AA18" s="184">
        <f t="shared" si="15"/>
        <v>0</v>
      </c>
      <c r="AB18" s="184">
        <f t="shared" si="15"/>
        <v>0</v>
      </c>
      <c r="AC18" s="184">
        <f t="shared" si="15"/>
        <v>10</v>
      </c>
      <c r="AD18" s="184">
        <f t="shared" si="15"/>
        <v>859</v>
      </c>
      <c r="AE18" s="184">
        <f t="shared" si="15"/>
        <v>867</v>
      </c>
      <c r="AF18" s="184">
        <f t="shared" si="15"/>
        <v>2</v>
      </c>
      <c r="AG18" s="184">
        <f t="shared" si="15"/>
        <v>0</v>
      </c>
      <c r="AH18" s="184">
        <f t="shared" si="15"/>
        <v>0</v>
      </c>
      <c r="AI18" s="184">
        <f t="shared" si="15"/>
        <v>0</v>
      </c>
      <c r="AJ18" s="184">
        <f t="shared" si="15"/>
        <v>0</v>
      </c>
      <c r="AK18" s="184">
        <f t="shared" si="15"/>
        <v>3</v>
      </c>
      <c r="AL18" s="184">
        <f t="shared" si="15"/>
        <v>785</v>
      </c>
      <c r="AM18" s="184">
        <f t="shared" si="15"/>
        <v>778</v>
      </c>
      <c r="AN18" s="184">
        <f t="shared" si="15"/>
        <v>10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1293</v>
      </c>
      <c r="AZ18" s="184">
        <f>SUBTOTAL(9,AZ14:AZ17)</f>
        <v>13440</v>
      </c>
      <c r="BA18" s="184">
        <f>SUBTOTAL(9,BA14:BA17)</f>
        <v>12299</v>
      </c>
      <c r="BB18" s="184">
        <f>SUBTOTAL(9,BB14:BB17)</f>
        <v>2551</v>
      </c>
      <c r="BC18" s="184">
        <f>SUBTOTAL(9,BC14:BC17)</f>
        <v>1291</v>
      </c>
      <c r="BD18" s="205">
        <f>IF(ISNUMBER(BA18/AZ18),BA18/AZ18," - ")</f>
        <v>0.91510416666666672</v>
      </c>
      <c r="BE18" s="206">
        <f>IF(ISNUMBER(BB18/BA18),BB18/BA18, " - ")</f>
        <v>0.20741523701113912</v>
      </c>
      <c r="BF18" s="206">
        <f>IF(ISNUMBER(BC18/BA18),BC18/BA18, " - ")</f>
        <v>0.10496788356776973</v>
      </c>
      <c r="BG18" s="207">
        <f>IF(ISNUMBER((AY18+AZ18)/BA18),(AY18+AZ18)/BA18," - ")</f>
        <v>1.1979022684771119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9414</v>
      </c>
      <c r="J19" s="134">
        <f t="shared" si="18"/>
        <v>26082</v>
      </c>
      <c r="K19" s="134">
        <f t="shared" si="18"/>
        <v>26007</v>
      </c>
      <c r="L19" s="134">
        <f t="shared" si="18"/>
        <v>9885</v>
      </c>
      <c r="M19" s="134">
        <f t="shared" si="18"/>
        <v>5467</v>
      </c>
      <c r="N19" s="134">
        <f t="shared" si="18"/>
        <v>13180</v>
      </c>
      <c r="O19" s="134">
        <f t="shared" si="18"/>
        <v>6577</v>
      </c>
      <c r="P19" s="134">
        <f t="shared" si="18"/>
        <v>3795</v>
      </c>
      <c r="Q19" s="134">
        <f t="shared" si="18"/>
        <v>3494</v>
      </c>
      <c r="R19" s="134">
        <f t="shared" si="18"/>
        <v>9003</v>
      </c>
      <c r="S19" s="134">
        <f t="shared" si="18"/>
        <v>5498</v>
      </c>
      <c r="T19" s="134">
        <f t="shared" si="18"/>
        <v>23946</v>
      </c>
      <c r="U19" s="134">
        <f t="shared" si="18"/>
        <v>19692</v>
      </c>
      <c r="V19" s="134">
        <f t="shared" si="18"/>
        <v>9414</v>
      </c>
      <c r="W19" s="134">
        <f t="shared" si="18"/>
        <v>3301</v>
      </c>
      <c r="X19" s="134">
        <f t="shared" si="18"/>
        <v>10942</v>
      </c>
      <c r="Y19" s="134">
        <f t="shared" si="18"/>
        <v>194</v>
      </c>
      <c r="Z19" s="134">
        <f t="shared" si="18"/>
        <v>553</v>
      </c>
      <c r="AA19" s="134">
        <f t="shared" si="18"/>
        <v>664</v>
      </c>
      <c r="AB19" s="134">
        <f t="shared" si="18"/>
        <v>82</v>
      </c>
      <c r="AC19" s="134">
        <f t="shared" si="18"/>
        <v>10</v>
      </c>
      <c r="AD19" s="134">
        <f t="shared" si="18"/>
        <v>859</v>
      </c>
      <c r="AE19" s="134">
        <f t="shared" si="18"/>
        <v>867</v>
      </c>
      <c r="AF19" s="134">
        <f t="shared" si="18"/>
        <v>2</v>
      </c>
      <c r="AG19" s="134">
        <f t="shared" si="18"/>
        <v>151</v>
      </c>
      <c r="AH19" s="134">
        <f t="shared" si="18"/>
        <v>628</v>
      </c>
      <c r="AI19" s="134">
        <f t="shared" si="18"/>
        <v>576</v>
      </c>
      <c r="AJ19" s="134">
        <f t="shared" si="18"/>
        <v>194</v>
      </c>
      <c r="AK19" s="134">
        <f t="shared" si="18"/>
        <v>3</v>
      </c>
      <c r="AL19" s="134">
        <f t="shared" si="18"/>
        <v>785</v>
      </c>
      <c r="AM19" s="134">
        <f t="shared" si="18"/>
        <v>778</v>
      </c>
      <c r="AN19" s="210">
        <f t="shared" si="18"/>
        <v>10</v>
      </c>
      <c r="AO19" s="211">
        <v>13</v>
      </c>
      <c r="AP19" s="211">
        <v>13</v>
      </c>
      <c r="AQ19" s="211">
        <v>13</v>
      </c>
      <c r="AR19" s="211">
        <v>13</v>
      </c>
      <c r="AS19" s="153">
        <f t="shared" si="18"/>
        <v>0</v>
      </c>
      <c r="AT19" s="153">
        <f t="shared" si="18"/>
        <v>0</v>
      </c>
      <c r="AU19" s="211"/>
      <c r="AV19" s="212"/>
      <c r="AW19" s="211"/>
      <c r="AX19" s="212"/>
      <c r="AY19" s="133">
        <f>SUBTOTAL(9,AY9:AY18)</f>
        <v>5649</v>
      </c>
      <c r="AZ19" s="134">
        <f>SUBTOTAL(9,AZ9:AZ18)</f>
        <v>24574</v>
      </c>
      <c r="BA19" s="134">
        <f>SUBTOTAL(9,BA9:BA18)</f>
        <v>20268</v>
      </c>
      <c r="BB19" s="134">
        <f>SUBTOTAL(9,BB9:BB18)</f>
        <v>9608</v>
      </c>
      <c r="BC19" s="135">
        <f>SUBTOTAL(9,BC9:BC18)</f>
        <v>4471</v>
      </c>
      <c r="BD19" s="213">
        <f>IF(ISNUMBER(BA19/AZ19),BA19/AZ19," - ")</f>
        <v>0.82477415154228051</v>
      </c>
      <c r="BE19" s="210">
        <f>IF(ISNUMBER(BB19/BA19),BB19/BA19, " - ")</f>
        <v>0.47404776001578841</v>
      </c>
      <c r="BF19" s="210">
        <f>IF(ISNUMBER(BC19/BA19),BC19/BA19, " - ")</f>
        <v>0.22059403986579831</v>
      </c>
      <c r="BG19" s="135">
        <f>IF(ISNUMBER((AY19+AZ19)/BA19),(AY19+AZ19)/BA19," - ")</f>
        <v>1.4911683441878825</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iAViGN3ntLpV1N9f4veHyQ1EN/rZCHQPBFXRrano8yEXsF1LDNbRI9tTEwfiYYutH7UZZjzRMeAu9hEXneEaw==" saltValue="4i/8R5ARGEfckYODiZNV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dZvHLWV5jKNLDE8Ty7WLYQXkpG9NK6XmI3cJTmbf+BgilGzl8Scs7H49XXOxggaRBoi3JJxT6cQEfBaullRlA==" saltValue="7WCZWfCYqc64VHQXWQwK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BADAJOZ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242</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449</v>
      </c>
      <c r="O9" s="334"/>
      <c r="P9" s="334"/>
      <c r="Q9" s="226">
        <f>IF(ISNUMBER(Datos!P9),Datos!P9,0)</f>
        <v>3036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2678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60</v>
      </c>
      <c r="AI9" s="334" t="str">
        <f>IF(ISNUMBER(Datos!CD9),Datos!CD9,"-")</f>
        <v>-</v>
      </c>
      <c r="AJ9" s="334" t="str">
        <f>IF(ISNUMBER(Datos!EN9),Datos!EN9," - ")</f>
        <v xml:space="preserve"> - </v>
      </c>
      <c r="AK9" s="334"/>
      <c r="AL9" s="479"/>
      <c r="AM9" s="335">
        <f>IF(ISNUMBER(Datos!R9),Datos!R9," - ")</f>
        <v>8259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3469</v>
      </c>
      <c r="BD9" s="229">
        <f>IF(ISNUMBER(Datos!N9),Datos!N9," - ")</f>
        <v>4756</v>
      </c>
      <c r="BE9" s="229" t="str">
        <f>IF(ISNUMBER(Datos!BW9),Datos!BW9," - ")</f>
        <v xml:space="preserve"> - </v>
      </c>
      <c r="BF9" s="228" t="str">
        <f>IF(ISNUMBER(Datos!BX9),Datos!BX9," - ")</f>
        <v xml:space="preserve"> - </v>
      </c>
      <c r="BG9" s="243">
        <f>IF(ISNUMBER(IF(J_V="SI",Datos!K9/Datos!J9,(Datos!K9+Datos!AA9)/(Datos!J9+Datos!Z9))),IF(J_V="SI",Datos!K9/Datos!J9,(Datos!K9+Datos!AA9)/(Datos!J9+Datos!Z9))," - ")</f>
        <v>0.98312143796580442</v>
      </c>
      <c r="BH9" s="260">
        <f>IF(ISNUMBER(((IF(J_V="SI",Datos!L9/Datos!K9,(Datos!L9+Datos!AB9)/(Datos!K9+Datos!AA9)))*11)/factor_trimestre),((IF(J_V="SI",Datos!L9/Datos!K9,(Datos!L9+Datos!AB9)/(Datos!K9+Datos!AA9)))*11)/factor_trimestre," - ")</f>
        <v>5.6058714232627285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4.5310720162004811E-2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107</v>
      </c>
      <c r="G10" s="333">
        <f>IF(ISNUMBER(Datos!I10),Datos!I10," - ")</f>
        <v>107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117</v>
      </c>
      <c r="AC10" s="226">
        <f>IF(ISNUMBER(Datos!Q10),Datos!Q10," - ")</f>
        <v>37</v>
      </c>
      <c r="AD10" s="334"/>
      <c r="AE10" s="484"/>
      <c r="AF10" s="332">
        <f>IF(ISNUMBER(Datos!L10),Datos!L10,"-")</f>
        <v>125</v>
      </c>
      <c r="AG10" s="334"/>
      <c r="AH10" s="334"/>
      <c r="AI10" s="334"/>
      <c r="AJ10" s="334"/>
      <c r="AK10" s="334"/>
      <c r="AL10" s="479"/>
      <c r="AM10" s="335">
        <f>IF(ISNUMBER(Datos!R10),Datos!R10," - ")</f>
        <v>88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41</v>
      </c>
      <c r="BD10" s="229">
        <f>IF(ISNUMBER(Datos!N10),Datos!N10," - ")</f>
        <v>39</v>
      </c>
      <c r="BE10" s="229" t="str">
        <f>IF(ISNUMBER(Datos!BW10),Datos!BW10," - ")</f>
        <v xml:space="preserve"> - </v>
      </c>
      <c r="BF10" s="228" t="str">
        <f>IF(ISNUMBER(Datos!BX10),Datos!BX10," - ")</f>
        <v xml:space="preserve"> - </v>
      </c>
      <c r="BG10" s="243">
        <f>IF(ISNUMBER(Datos!K10/Datos!J10),Datos!K10/Datos!J10," - ")</f>
        <v>0.8666666666666667</v>
      </c>
      <c r="BH10" s="260">
        <f>IF(ISNUMBER(((Datos!L10/Datos!K10)*11)/factor_trimestre),((Datos!L10/Datos!K10)*11)/factor_trimestre," - ")</f>
        <v>11.752136752136751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104</v>
      </c>
      <c r="O11" s="334"/>
      <c r="P11" s="334"/>
      <c r="Q11" s="226">
        <f>IF(ISNUMBER(Datos!P11),Datos!P11,0)</f>
        <v>235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245</v>
      </c>
      <c r="AD11" s="334"/>
      <c r="AE11" s="484"/>
      <c r="AF11" s="332" t="str">
        <f>IF(ISNUMBER(IF(J_V="SI",Datos!L11,Datos!L11+Datos!AB11)-IF(Monitorios="SI",Datos!CD11,0)),
                          IF(J_V="SI",Datos!L11,Datos!L11+Datos!AB11)-IF(Monitorios="SI",Datos!CD11,0),
                          " - ")</f>
        <v xml:space="preserve"> - </v>
      </c>
      <c r="AG11" s="334"/>
      <c r="AH11" s="334">
        <f>IF(ISNUMBER(Datos!AB11),Datos!AB11,"-")</f>
        <v>22</v>
      </c>
      <c r="AI11" s="334"/>
      <c r="AJ11" s="334"/>
      <c r="AK11" s="334"/>
      <c r="AL11" s="479"/>
      <c r="AM11" s="335">
        <f>IF(ISNUMBER(Datos!R11),Datos!R11," - ")</f>
        <v>425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575</v>
      </c>
      <c r="BD11" s="229">
        <f>IF(ISNUMBER(Datos!N11),Datos!N11," - ")</f>
        <v>723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1.0563265306122449</v>
      </c>
      <c r="BH11" s="260">
        <f>IF(ISNUMBER(((IF(J_V="SI",Datos!L11/Datos!K11,(Datos!L11+Datos!AB11)/(Datos!K11+Datos!AA11)))*11)/factor_trimestre),((IF(J_V="SI",Datos!L11/Datos!K11,(Datos!L11+Datos!AB11)/(Datos!K11+Datos!AA11)))*11)/factor_trimestre," - ")</f>
        <v>4.6329211746522407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-2.2988505747126436E-2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f>IF(ISNUMBER(((IF(J_V="SI",Datos!L12/Datos!K12,(Datos!L12+Datos!AB12)/(Datos!K12+Datos!AA12)))*11)/factor_trimestre),((IF(J_V="SI",Datos!L12/Datos!K12,(Datos!L12+Datos!AB12)/(Datos!K12+Datos!AA12)))*11)/factor_trimestre," - ")</f>
        <v>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-0.17241379310344829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107</v>
      </c>
      <c r="G13" s="898">
        <f t="shared" si="0"/>
        <v>107</v>
      </c>
      <c r="H13" s="899">
        <f t="shared" si="0"/>
        <v>0</v>
      </c>
      <c r="I13" s="898">
        <f t="shared" si="0"/>
        <v>0</v>
      </c>
      <c r="J13" s="867">
        <f t="shared" si="0"/>
        <v>0</v>
      </c>
      <c r="K13" s="867">
        <f t="shared" si="0"/>
        <v>0</v>
      </c>
      <c r="L13" s="899">
        <f t="shared" si="0"/>
        <v>0</v>
      </c>
      <c r="M13" s="899">
        <f t="shared" si="0"/>
        <v>0</v>
      </c>
      <c r="N13" s="899">
        <f t="shared" si="0"/>
        <v>553</v>
      </c>
      <c r="O13" s="900">
        <f t="shared" si="0"/>
        <v>0</v>
      </c>
      <c r="P13" s="900">
        <f t="shared" si="0"/>
        <v>0</v>
      </c>
      <c r="Q13" s="899">
        <f t="shared" si="0"/>
        <v>3314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117</v>
      </c>
      <c r="AC13" s="899">
        <f t="shared" si="1"/>
        <v>2967</v>
      </c>
      <c r="AD13" s="899">
        <f t="shared" si="1"/>
        <v>0</v>
      </c>
      <c r="AE13" s="899">
        <f t="shared" si="1"/>
        <v>0</v>
      </c>
      <c r="AF13" s="899">
        <f t="shared" si="1"/>
        <v>125</v>
      </c>
      <c r="AG13" s="899">
        <f t="shared" si="1"/>
        <v>0</v>
      </c>
      <c r="AH13" s="899">
        <f t="shared" si="1"/>
        <v>82</v>
      </c>
      <c r="AI13" s="899">
        <f t="shared" si="1"/>
        <v>0</v>
      </c>
      <c r="AJ13" s="899">
        <f t="shared" si="1"/>
        <v>0</v>
      </c>
      <c r="AK13" s="899">
        <f t="shared" si="1"/>
        <v>0</v>
      </c>
      <c r="AL13" s="899">
        <f t="shared" si="1"/>
        <v>0</v>
      </c>
      <c r="AM13" s="899">
        <f t="shared" si="1"/>
        <v>8796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4085</v>
      </c>
      <c r="BD13" s="899">
        <f t="shared" si="1"/>
        <v>5518</v>
      </c>
      <c r="BE13" s="899">
        <f t="shared" si="1"/>
        <v>0</v>
      </c>
      <c r="BF13" s="899">
        <f t="shared" si="1"/>
        <v>0</v>
      </c>
      <c r="BG13" s="899">
        <f>IF(ISNUMBER(Datos!K13/Datos!J13),Datos!K13/Datos!J13," - ")</f>
        <v>0.98005933899123709</v>
      </c>
      <c r="BH13" s="903">
        <f>IF(ISNUMBER(((Datos!L13/Datos!K13)*11)/factor_trimestre),((Datos!L13/Datos!K13)*11)/factor_trimestre," - ")</f>
        <v>5.7664038299070688</v>
      </c>
      <c r="BI13" s="899">
        <f>IF(ISNUMBER('Resol  Asuntos'!D13/NºAsuntos!G13),'Resol  Asuntos'!D13/NºAsuntos!G13," - ")</f>
        <v>0.27475114339521117</v>
      </c>
      <c r="BJ13" s="899" t="str">
        <f>IF(ISNUMBER(Datos!CI13/Datos!CJ13),Datos!CI13/Datos!CJ13," - ")</f>
        <v xml:space="preserve"> - </v>
      </c>
      <c r="BK13" s="899">
        <f>SUBTOTAL(9,BK8:BK12)</f>
        <v>0</v>
      </c>
      <c r="BL13" s="899">
        <f>IF(ISNUMBER((I13-AB13+L13)/(F13)),(I13-AB13+L13)/(F13)," - ")</f>
        <v>-1.0934579439252337</v>
      </c>
      <c r="BM13" s="904">
        <f>SUBTOTAL(9,BM9:BM12)</f>
        <v>-0.1024725310695223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2479</v>
      </c>
      <c r="G15" s="598">
        <f>IF(ISNUMBER(IF(D_I="SI",Datos!I15,Datos!I15+Datos!AC15)),IF(D_I="SI",Datos!I15,Datos!I15+Datos!AC15)," - ")</f>
        <v>2386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451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10876</v>
      </c>
      <c r="AC15" s="226">
        <f>IF(ISNUMBER(Datos!Q15),Datos!Q15," - ")</f>
        <v>495</v>
      </c>
      <c r="AD15" s="334"/>
      <c r="AE15" s="484"/>
      <c r="AF15" s="596">
        <f>IF(ISNUMBER(IF(D_I="SI",Datos!L15,Datos!L15+Datos!AF15)),IF(D_I="SI",Datos!L15,Datos!L15+Datos!AF15)," - ")</f>
        <v>2272</v>
      </c>
      <c r="AG15" s="334"/>
      <c r="AH15" s="334"/>
      <c r="AI15" s="334"/>
      <c r="AJ15" s="334"/>
      <c r="AK15" s="334"/>
      <c r="AL15" s="479"/>
      <c r="AM15" s="335">
        <f>IF(ISNUMBER(Datos!R15),Datos!R15," - ")</f>
        <v>193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1204</v>
      </c>
      <c r="BD15" s="229">
        <f>IF(ISNUMBER(Datos!N15),Datos!N15," - ")</f>
        <v>7001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1.0194020058112288</v>
      </c>
      <c r="BH15" s="260">
        <f>IF(ISNUMBER(((IF(D_I="SI",Datos!L15/Datos!K15,(Datos!L15+Datos!AF15)/(Datos!K15+Datos!AE15)))*11)/factor_trimestre),((IF(D_I="SI",Datos!L15/Datos!K15,(Datos!L15+Datos!AF15)/(Datos!K15+Datos!AE15)))*11)/factor_trimestre," - ")</f>
        <v>2.2979036410445017</v>
      </c>
      <c r="BI15" s="243">
        <f>IF(ISNUMBER('Resol  Asuntos'!D15/NºAsuntos!G15),'Resol  Asuntos'!D15/NºAsuntos!G15," - ")</f>
        <v>0.11070246414122839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927</v>
      </c>
      <c r="AC17" s="226">
        <f>IF(ISNUMBER(Datos!Q17),Datos!Q17," - ")</f>
        <v>32</v>
      </c>
      <c r="AD17" s="334"/>
      <c r="AE17" s="484"/>
      <c r="AF17" s="332">
        <f>IF(ISNUMBER(Datos!L17),Datos!L17,"-")</f>
        <v>167</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178</v>
      </c>
      <c r="BD17" s="229">
        <f>IF(ISNUMBER(Datos!N17),Datos!N17," - ")</f>
        <v>661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1.0076086956521739</v>
      </c>
      <c r="BH17" s="260">
        <f>IF(ISNUMBER(((IF(D_I="SI",Datos!L17/Datos!K17,(Datos!L17+Datos!AF17)/(Datos!K17+Datos!AE17)))*11)/factor_trimestre),((IF(D_I="SI",Datos!L17/Datos!K17,(Datos!L17+Datos!AF17)/(Datos!K17+Datos!AE17)))*11)/factor_trimestre," - ")</f>
        <v>1.9816612729234087</v>
      </c>
      <c r="BI17" s="243">
        <f>IF(ISNUMBER('Resol  Asuntos'!D17/NºAsuntos!G17),'Resol  Asuntos'!D17/NºAsuntos!G17," - ")</f>
        <v>0.19201725997842503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2479</v>
      </c>
      <c r="G18" s="898">
        <f>SUBTOTAL(9,G15:G17)</f>
        <v>2551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481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11803</v>
      </c>
      <c r="AC18" s="899">
        <f t="shared" si="4"/>
        <v>527</v>
      </c>
      <c r="AD18" s="899">
        <f t="shared" si="4"/>
        <v>0</v>
      </c>
      <c r="AE18" s="899">
        <f t="shared" si="4"/>
        <v>0</v>
      </c>
      <c r="AF18" s="899">
        <f t="shared" si="4"/>
        <v>2439</v>
      </c>
      <c r="AG18" s="899">
        <f t="shared" si="4"/>
        <v>0</v>
      </c>
      <c r="AH18" s="899">
        <f t="shared" si="4"/>
        <v>0</v>
      </c>
      <c r="AI18" s="899">
        <f t="shared" si="4"/>
        <v>0</v>
      </c>
      <c r="AJ18" s="899">
        <f t="shared" si="4"/>
        <v>0</v>
      </c>
      <c r="AK18" s="899">
        <f t="shared" si="4"/>
        <v>0</v>
      </c>
      <c r="AL18" s="899">
        <f t="shared" si="4"/>
        <v>0</v>
      </c>
      <c r="AM18" s="899">
        <f t="shared" si="4"/>
        <v>207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1382</v>
      </c>
      <c r="BD18" s="899">
        <f t="shared" si="4"/>
        <v>7662</v>
      </c>
      <c r="BE18" s="899">
        <f t="shared" si="4"/>
        <v>0</v>
      </c>
      <c r="BF18" s="899">
        <f t="shared" si="4"/>
        <v>0</v>
      </c>
      <c r="BG18" s="899">
        <f>IF(ISNUMBER(Datos!K18/Datos!J18),Datos!K18/Datos!J18," - ")</f>
        <v>1.0184657865217017</v>
      </c>
      <c r="BH18" s="903">
        <f>IF(ISNUMBER(((Datos!L18/Datos!K18)*11)/factor_trimestre),((Datos!L18/Datos!K18)*11)/factor_trimestre," - ")</f>
        <v>2.273066169617894</v>
      </c>
      <c r="BI18" s="899">
        <f>SUBTOTAL(9,BI15:BI17)</f>
        <v>0.30271972411965342</v>
      </c>
      <c r="BJ18" s="899">
        <f>SUBTOTAL(9,BJ15:BJ17)</f>
        <v>0</v>
      </c>
      <c r="BK18" s="899">
        <f>SUBTOTAL(9,BK15:BK17)</f>
        <v>0</v>
      </c>
      <c r="BL18" s="899">
        <f>IF(ISNUMBER((I18-AB18+L18)/(F18)),(I18-AB18+L18)/(F18)," - ")</f>
        <v>-4.7611940298507465</v>
      </c>
      <c r="BM18" s="905">
        <f>IF(ISNUMBER((Datos!P18-Datos!Q18)/(Datos!R18-Datos!P18+Datos!Q18)),(Datos!P18-Datos!Q18)/(Datos!R18-Datos!P18+Datos!Q18)," - ")</f>
        <v>-0.18181818181818182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2586</v>
      </c>
      <c r="G19" s="820">
        <f t="shared" si="6"/>
        <v>2658</v>
      </c>
      <c r="H19" s="822">
        <f t="shared" si="6"/>
        <v>0</v>
      </c>
      <c r="I19" s="820">
        <f t="shared" si="6"/>
        <v>0</v>
      </c>
      <c r="J19" s="822">
        <f t="shared" si="6"/>
        <v>0</v>
      </c>
      <c r="K19" s="822">
        <f t="shared" si="6"/>
        <v>0</v>
      </c>
      <c r="L19" s="881">
        <f t="shared" si="6"/>
        <v>0</v>
      </c>
      <c r="M19" s="881">
        <f t="shared" si="6"/>
        <v>0</v>
      </c>
      <c r="N19" s="881">
        <f t="shared" si="6"/>
        <v>553</v>
      </c>
      <c r="O19" s="881">
        <f t="shared" si="6"/>
        <v>0</v>
      </c>
      <c r="P19" s="881">
        <f t="shared" si="6"/>
        <v>0</v>
      </c>
      <c r="Q19" s="822">
        <f t="shared" si="6"/>
        <v>3795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11920</v>
      </c>
      <c r="AC19" s="821">
        <f t="shared" si="7"/>
        <v>3494</v>
      </c>
      <c r="AD19" s="821">
        <f t="shared" si="7"/>
        <v>0</v>
      </c>
      <c r="AE19" s="821">
        <f t="shared" si="7"/>
        <v>0</v>
      </c>
      <c r="AF19" s="828">
        <f t="shared" si="7"/>
        <v>2564</v>
      </c>
      <c r="AG19" s="828">
        <f t="shared" si="7"/>
        <v>0</v>
      </c>
      <c r="AH19" s="828">
        <f t="shared" si="7"/>
        <v>82</v>
      </c>
      <c r="AI19" s="828">
        <f t="shared" si="7"/>
        <v>0</v>
      </c>
      <c r="AJ19" s="821">
        <f t="shared" si="7"/>
        <v>0</v>
      </c>
      <c r="AK19" s="828">
        <f t="shared" si="7"/>
        <v>0</v>
      </c>
      <c r="AL19" s="828">
        <f t="shared" si="7"/>
        <v>0</v>
      </c>
      <c r="AM19" s="828">
        <f t="shared" si="7"/>
        <v>9003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5467</v>
      </c>
      <c r="BD19" s="820">
        <f t="shared" si="7"/>
        <v>13180</v>
      </c>
      <c r="BE19" s="820">
        <f t="shared" si="7"/>
        <v>0</v>
      </c>
      <c r="BF19" s="830">
        <f t="shared" si="7"/>
        <v>0</v>
      </c>
      <c r="BG19" s="915">
        <f>IF(ISNUMBER(Datos!K19/Datos!J19),Datos!K19/Datos!J19," - ")</f>
        <v>0.99712445364619273</v>
      </c>
      <c r="BH19" s="915">
        <f>IF(ISNUMBER(((Datos!L19/Datos!K19)*11)/factor_trimestre),((Datos!L19/Datos!K19)*11)/factor_trimestre," - ")</f>
        <v>4.1809897335332797</v>
      </c>
      <c r="BI19" s="813">
        <f>IF(ISNUMBER(Datos!J19/Datos!I19),Datos!J19/Datos!I19," - ")</f>
        <v>2.7705544933078392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-4.609435421500387</v>
      </c>
      <c r="BM19" s="889">
        <f>IF(ISNUMBER((Datos!P19-Datos!Q19+R19)/(Datos!R19-Datos!P19+Datos!Q19-R19)),(Datos!P19-Datos!Q19+R19)/(Datos!R19-Datos!P19+Datos!Q19-R19)," - ")</f>
        <v>3.4589749482877498E-2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1063.2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3.2956199888808646</v>
      </c>
      <c r="F21" s="551">
        <f>IF(ISNUMBER(STDEV(F8:F18)),STDEV(F8:F18),"-")</f>
        <v>1369.4748385177923</v>
      </c>
      <c r="G21" s="552">
        <f>IF(ISNUMBER(STDEV(G8:G18)),STDEV(G8:G18),"-")</f>
        <v>1284.4014948605441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6016.9712480616026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1581.1691650710334</v>
      </c>
      <c r="BD21" s="551"/>
      <c r="BE21" s="551">
        <f>IF(ISNUMBER(STDEV(BE8:BE18)),STDEV(BE8:BE18),"-")</f>
        <v>0</v>
      </c>
      <c r="BF21" s="556">
        <f>IF(ISNUMBER(STDEV(BF8:BF18)),STDEV(BF8:BF18),"-")</f>
        <v>0</v>
      </c>
      <c r="BG21" s="775">
        <f>IF(ISNUMBER(STDEV(BG8:BG18)),STDEV(BG8:BG18),"-")</f>
        <v>6.0195386167608299E-2</v>
      </c>
      <c r="BH21" s="776">
        <f>IF(ISNUMBER(STDEV(BH8:BH18)),STDEV(BH8:BH18),"-")</f>
        <v>3.1797102275362232</v>
      </c>
      <c r="BI21" s="249">
        <f>IF(ISNUMBER(STDEV(BI8:BI18)),STDEV(BI8:BI18),"-")</f>
        <v>8.6735645237192446E-2</v>
      </c>
      <c r="BJ21" s="230" t="str">
        <f>IF(ISNUMBER(BL21/BM21),BL21/BM21," - ")</f>
        <v xml:space="preserve"> - </v>
      </c>
      <c r="BK21" s="575"/>
      <c r="BL21" s="559">
        <f>IF(ISNUMBER(STDEV(BL8:BL18)),STDEV(BL8:BL18),"-")</f>
        <v>2.5934810579605361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QYVLMUrswJluBbQKusW9lxOt135hAcjKEq+KEqNg9wk4q6lN8ptgFy8mQkMNVAiQTK07yEy1Cm9o2gWI2S1Hg==" saltValue="o4Pd0Ls2mVNRTTd9L/mR4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BADAJOZ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1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3036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2678</v>
      </c>
      <c r="AA9" s="332" t="str">
        <f>IF(ISNUMBER(IF(J_V="SI",Datos!L9,Datos!L9+Datos!AB9)-IF(Monitorios="SI",Datos!CD9,0)),
                          IF(J_V="SI",Datos!L9,Datos!L9+Datos!AB9)-IF(Monitorios="SI",Datos!CD9,0),
                          " - ")</f>
        <v xml:space="preserve"> - </v>
      </c>
      <c r="AB9" s="334"/>
      <c r="AC9" s="334"/>
      <c r="AD9" s="484"/>
      <c r="AE9" s="484">
        <f>IF(ISNUMBER(Datos!R9),Datos!R9," - ")</f>
        <v>8259</v>
      </c>
      <c r="AF9" s="229" t="str">
        <f>IF(ISNUMBER(Datos!BV9),Datos!BV9," - ")</f>
        <v xml:space="preserve"> - </v>
      </c>
      <c r="AG9" s="225" t="str">
        <f>IF(ISNUMBER(Datos!DV9),Datos!DV9," - ")</f>
        <v xml:space="preserve"> - </v>
      </c>
      <c r="AH9" s="298"/>
      <c r="AI9" s="227"/>
      <c r="AJ9" s="225">
        <f>IF(ISNUMBER(Datos!M9),Datos!M9," - ")</f>
        <v>3469</v>
      </c>
      <c r="AK9" s="229">
        <f>IF(ISNUMBER(Datos!N9),Datos!N9," - ")</f>
        <v>4756</v>
      </c>
      <c r="AL9" s="229" t="str">
        <f>IF(ISNUMBER(Datos!BW9),Datos!BW9," - ")</f>
        <v xml:space="preserve"> - </v>
      </c>
      <c r="AM9" s="228" t="str">
        <f>IF(ISNUMBER(Datos!BX9),Datos!BX9," - ")</f>
        <v xml:space="preserve"> - </v>
      </c>
      <c r="AN9" s="243"/>
      <c r="AO9" s="260">
        <f>IF(ISNUMBER(((NºAsuntos!I9/NºAsuntos!G9)*11)/factor_trimestre),((NºAsuntos!I9/NºAsuntos!G9)*11)/factor_trimestre," - ")</f>
        <v>5.6058714232627285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4.5310720162004811E-2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107</v>
      </c>
      <c r="G10" s="225">
        <f>IF(ISNUMBER(Datos!I10),Datos!I10," - ")</f>
        <v>107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117</v>
      </c>
      <c r="Z10" s="619">
        <f>IF(ISNUMBER(Datos!Q10),Datos!Q10," - ")</f>
        <v>37</v>
      </c>
      <c r="AA10" s="332">
        <f>IF(ISNUMBER(Datos!L10),Datos!L10,"-")</f>
        <v>125</v>
      </c>
      <c r="AB10" s="334"/>
      <c r="AC10" s="334"/>
      <c r="AD10" s="484"/>
      <c r="AE10" s="484">
        <f>IF(ISNUMBER(Datos!R10),Datos!R10," - ")</f>
        <v>88</v>
      </c>
      <c r="AF10" s="229" t="str">
        <f>IF(ISNUMBER(Datos!BV10),Datos!BV10," - ")</f>
        <v xml:space="preserve"> - </v>
      </c>
      <c r="AG10" s="225" t="str">
        <f>IF(ISNUMBER(Datos!DV10),Datos!DV10," - ")</f>
        <v xml:space="preserve"> - </v>
      </c>
      <c r="AH10" s="298"/>
      <c r="AI10" s="227"/>
      <c r="AJ10" s="225">
        <f>IF(ISNUMBER(Datos!M10),Datos!M10," - ")</f>
        <v>41</v>
      </c>
      <c r="AK10" s="229">
        <f>IF(ISNUMBER(Datos!N10),Datos!N10," - ")</f>
        <v>39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11.752136752136751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235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245</v>
      </c>
      <c r="AA11" s="332" t="str">
        <f>IF(ISNUMBER(IF(J_V="SI",Datos!L11,Datos!L11+Datos!AB11)-IF(Monitorios="SI",Datos!CD11,0)),
                          IF(J_V="SI",Datos!L11,Datos!L11+Datos!AB11)-IF(Monitorios="SI",Datos!CD11,0),
                          " - ")</f>
        <v xml:space="preserve"> - </v>
      </c>
      <c r="AB11" s="334"/>
      <c r="AC11" s="334"/>
      <c r="AD11" s="484"/>
      <c r="AE11" s="484">
        <f>IF(ISNUMBER(Datos!R11),Datos!R11," - ")</f>
        <v>425</v>
      </c>
      <c r="AF11" s="229" t="str">
        <f>IF(ISNUMBER(Datos!BV11),Datos!BV11," - ")</f>
        <v xml:space="preserve"> - </v>
      </c>
      <c r="AG11" s="225" t="str">
        <f>IF(ISNUMBER(Datos!DV11),Datos!DV11," - ")</f>
        <v xml:space="preserve"> - </v>
      </c>
      <c r="AH11" s="298"/>
      <c r="AI11" s="227"/>
      <c r="AJ11" s="225">
        <f>IF(ISNUMBER(Datos!M11),Datos!M11," - ")</f>
        <v>575</v>
      </c>
      <c r="AK11" s="229">
        <f>IF(ISNUMBER(Datos!N11),Datos!N11," - ")</f>
        <v>723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4.6329211746522407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-2.2988505747126436E-2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24</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-0.17241379310344829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107</v>
      </c>
      <c r="G13" s="898">
        <f>SUBTOTAL(9,G8:G12)</f>
        <v>107</v>
      </c>
      <c r="H13" s="908"/>
      <c r="I13" s="898">
        <f t="shared" ref="I13:N13" si="0">SUBTOTAL(9,I8:I12)</f>
        <v>0</v>
      </c>
      <c r="J13" s="867">
        <f t="shared" si="0"/>
        <v>0</v>
      </c>
      <c r="K13" s="908">
        <f t="shared" si="0"/>
        <v>0</v>
      </c>
      <c r="L13" s="908">
        <f t="shared" si="0"/>
        <v>0</v>
      </c>
      <c r="M13" s="908">
        <f t="shared" si="0"/>
        <v>0</v>
      </c>
      <c r="N13" s="908">
        <f t="shared" si="0"/>
        <v>3314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117</v>
      </c>
      <c r="Z13" s="907">
        <f t="shared" si="2"/>
        <v>2967</v>
      </c>
      <c r="AA13" s="900">
        <f t="shared" si="2"/>
        <v>125</v>
      </c>
      <c r="AB13" s="900">
        <f t="shared" si="2"/>
        <v>0</v>
      </c>
      <c r="AC13" s="900">
        <f t="shared" si="2"/>
        <v>0</v>
      </c>
      <c r="AD13" s="900">
        <f t="shared" si="2"/>
        <v>0</v>
      </c>
      <c r="AE13" s="900">
        <f t="shared" si="2"/>
        <v>8796</v>
      </c>
      <c r="AF13" s="908">
        <f t="shared" si="2"/>
        <v>0</v>
      </c>
      <c r="AG13" s="908">
        <f t="shared" si="2"/>
        <v>0</v>
      </c>
      <c r="AH13" s="908">
        <f t="shared" si="2"/>
        <v>0</v>
      </c>
      <c r="AI13" s="908">
        <f t="shared" si="2"/>
        <v>0</v>
      </c>
      <c r="AJ13" s="908">
        <f t="shared" si="2"/>
        <v>4085</v>
      </c>
      <c r="AK13" s="908">
        <f t="shared" si="2"/>
        <v>5518</v>
      </c>
      <c r="AL13" s="908">
        <f t="shared" si="2"/>
        <v>0</v>
      </c>
      <c r="AM13" s="908">
        <f t="shared" si="2"/>
        <v>0</v>
      </c>
      <c r="AN13" s="908">
        <f t="shared" si="2"/>
        <v>0</v>
      </c>
      <c r="AO13" s="904">
        <f>IF(ISNUMBER(((NºAsuntos!I13/NºAsuntos!G13)*11)/factor_trimestre),((NºAsuntos!I13/NºAsuntos!G13)*11)/factor_trimestre," - ")</f>
        <v>5.5695453322571957</v>
      </c>
      <c r="AP13" s="910" t="str">
        <f>IF(ISNUMBER(Datos!CI13/Datos!CJ13),Datos!CI13/Datos!CJ13," - ")</f>
        <v xml:space="preserve"> - </v>
      </c>
      <c r="AQ13" s="928">
        <f t="shared" ref="AQ13:AV13" si="3">SUBTOTAL(9,AQ9:AQ12)</f>
        <v>0</v>
      </c>
      <c r="AR13" s="928">
        <f t="shared" si="3"/>
        <v>-0.1024725310695223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2479</v>
      </c>
      <c r="G15" s="225">
        <f>IF(ISNUMBER(IF(D_I="SI",Datos!I15,Datos!I15+Datos!AC15)),IF(D_I="SI",Datos!I15,Datos!I15+Datos!AC15)," - ")</f>
        <v>2386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451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10876</v>
      </c>
      <c r="Z15" s="619">
        <f>IF(ISNUMBER(Datos!Q15),Datos!Q15," - ")</f>
        <v>495</v>
      </c>
      <c r="AA15" s="332">
        <f>IF(ISNUMBER(IF(D_I="SI",Datos!L15,Datos!L15+Datos!AF15)),IF(D_I="SI",Datos!L15,Datos!L15+Datos!AF15)," - ")</f>
        <v>2272</v>
      </c>
      <c r="AB15" s="334"/>
      <c r="AC15" s="334"/>
      <c r="AD15" s="484"/>
      <c r="AE15" s="484">
        <f>IF(ISNUMBER(Datos!R15),Datos!R15," - ")</f>
        <v>193</v>
      </c>
      <c r="AF15" s="229" t="str">
        <f>IF(ISNUMBER(Datos!BV15),Datos!BV15," - ")</f>
        <v xml:space="preserve"> - </v>
      </c>
      <c r="AG15" s="225"/>
      <c r="AH15" s="298"/>
      <c r="AI15" s="227"/>
      <c r="AJ15" s="225">
        <f>IF(ISNUMBER(Datos!M15),Datos!M15," - ")</f>
        <v>1204</v>
      </c>
      <c r="AK15" s="229">
        <f>IF(ISNUMBER(Datos!N15),Datos!N15," - ")</f>
        <v>7001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2.2979036410445017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927</v>
      </c>
      <c r="Z17" s="619">
        <f>IF(ISNUMBER(Datos!Q17),Datos!Q17," - ")</f>
        <v>32</v>
      </c>
      <c r="AA17" s="332">
        <f>IF(ISNUMBER(Datos!L17),Datos!L17,"-")</f>
        <v>167</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178</v>
      </c>
      <c r="AK17" s="229">
        <f>IF(ISNUMBER(Datos!N17),Datos!N17," - ")</f>
        <v>661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1.9816612729234087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2479</v>
      </c>
      <c r="G18" s="898">
        <f>SUBTOTAL(9,G15:G17)</f>
        <v>2551</v>
      </c>
      <c r="H18" s="932">
        <f>SUBTOTAL(9,H15:H17)</f>
        <v>0</v>
      </c>
      <c r="I18" s="911">
        <f>SUBTOTAL(9,I15:I17)</f>
        <v>0</v>
      </c>
      <c r="J18" s="867">
        <f>SUBTOTAL(9,J14:J17)</f>
        <v>0</v>
      </c>
      <c r="K18" s="932">
        <f t="shared" ref="K18:S18" si="4">SUBTOTAL(9,K15:K17)</f>
        <v>0</v>
      </c>
      <c r="L18" s="932">
        <f t="shared" si="4"/>
        <v>0</v>
      </c>
      <c r="M18" s="932">
        <f t="shared" si="4"/>
        <v>0</v>
      </c>
      <c r="N18" s="932">
        <f t="shared" si="4"/>
        <v>481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11803</v>
      </c>
      <c r="Z18" s="932">
        <f t="shared" si="5"/>
        <v>527</v>
      </c>
      <c r="AA18" s="932">
        <f t="shared" si="5"/>
        <v>2439</v>
      </c>
      <c r="AB18" s="932">
        <f t="shared" si="5"/>
        <v>0</v>
      </c>
      <c r="AC18" s="932">
        <f t="shared" si="5"/>
        <v>0</v>
      </c>
      <c r="AD18" s="932">
        <f t="shared" si="5"/>
        <v>0</v>
      </c>
      <c r="AE18" s="932">
        <f t="shared" si="5"/>
        <v>207</v>
      </c>
      <c r="AF18" s="932">
        <f t="shared" si="5"/>
        <v>0</v>
      </c>
      <c r="AG18" s="932">
        <f t="shared" si="5"/>
        <v>0</v>
      </c>
      <c r="AH18" s="932">
        <f t="shared" si="5"/>
        <v>0</v>
      </c>
      <c r="AI18" s="932">
        <f t="shared" si="5"/>
        <v>0</v>
      </c>
      <c r="AJ18" s="932">
        <f t="shared" si="5"/>
        <v>1382</v>
      </c>
      <c r="AK18" s="932">
        <f t="shared" si="5"/>
        <v>7662</v>
      </c>
      <c r="AL18" s="932">
        <f t="shared" si="5"/>
        <v>0</v>
      </c>
      <c r="AM18" s="932">
        <f t="shared" si="5"/>
        <v>0</v>
      </c>
      <c r="AN18" s="932">
        <f t="shared" si="5"/>
        <v>0</v>
      </c>
      <c r="AO18" s="934">
        <f>IF(ISNUMBER(((NºAsuntos!I18/NºAsuntos!G18)*11)/factor_trimestre),((NºAsuntos!I18/NºAsuntos!G18)*11)/factor_trimestre," - ")</f>
        <v>2.273066169617894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2586</v>
      </c>
      <c r="G19" s="820">
        <f t="shared" si="7"/>
        <v>2658</v>
      </c>
      <c r="H19" s="821">
        <f t="shared" si="7"/>
        <v>0</v>
      </c>
      <c r="I19" s="820">
        <f t="shared" si="7"/>
        <v>0</v>
      </c>
      <c r="J19" s="822">
        <f t="shared" si="7"/>
        <v>0</v>
      </c>
      <c r="K19" s="820">
        <f t="shared" si="7"/>
        <v>0</v>
      </c>
      <c r="L19" s="823">
        <f t="shared" si="7"/>
        <v>0</v>
      </c>
      <c r="M19" s="820">
        <f t="shared" si="7"/>
        <v>0</v>
      </c>
      <c r="N19" s="821">
        <f t="shared" si="7"/>
        <v>3795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11920</v>
      </c>
      <c r="Z19" s="827">
        <f t="shared" si="8"/>
        <v>3494</v>
      </c>
      <c r="AA19" s="828">
        <f t="shared" si="8"/>
        <v>2564</v>
      </c>
      <c r="AB19" s="828">
        <f t="shared" si="8"/>
        <v>0</v>
      </c>
      <c r="AC19" s="828">
        <f t="shared" si="8"/>
        <v>0</v>
      </c>
      <c r="AD19" s="829">
        <f t="shared" si="8"/>
        <v>0</v>
      </c>
      <c r="AE19" s="829">
        <f t="shared" si="8"/>
        <v>9003</v>
      </c>
      <c r="AF19" s="830">
        <f t="shared" si="8"/>
        <v>0</v>
      </c>
      <c r="AG19" s="831">
        <f t="shared" si="8"/>
        <v>0</v>
      </c>
      <c r="AH19" s="832">
        <f t="shared" si="8"/>
        <v>0</v>
      </c>
      <c r="AI19" s="830">
        <f t="shared" si="8"/>
        <v>0</v>
      </c>
      <c r="AJ19" s="820">
        <f t="shared" si="8"/>
        <v>5467</v>
      </c>
      <c r="AK19" s="820">
        <f t="shared" si="8"/>
        <v>13180</v>
      </c>
      <c r="AL19" s="820">
        <f t="shared" si="8"/>
        <v>0</v>
      </c>
      <c r="AM19" s="833">
        <f t="shared" si="8"/>
        <v>0</v>
      </c>
      <c r="AN19" s="823">
        <f>IF(ISNUMBER(Datos!K19/Datos!J19),Datos!K19/Datos!J19," - ")</f>
        <v>0.99712445364619273</v>
      </c>
      <c r="AO19" s="823">
        <f>IF(ISNUMBER(FIND("06",Criterios!A8,1)),(IF(ISNUMBER(((Datos!R19/Datos!Q19)*11)/factor_trimestre),((Datos!R19/Datos!Q19)*11)/factor_trimestre," - ")),(IF(ISNUMBER(((Datos!L19/Datos!K19)*11)/factor_trimestre),((Datos!L19/Datos!K19)*11)/factor_trimestre," - ")))</f>
        <v>4.1809897335332797</v>
      </c>
      <c r="AP19" s="834" t="str">
        <f>IF(ISNUMBER(Datos!CI19/Datos!CJ19),Datos!CI19/Datos!CJ19," - ")</f>
        <v xml:space="preserve"> - </v>
      </c>
      <c r="AQ19" s="834">
        <f>IF(OR(ISNUMBER(FIND("01",Criterios!A8,1)),ISNUMBER(FIND("02",Criterios!A8,1)),ISNUMBER(FIND("03",Criterios!A8,1)),ISNUMBER(FIND("04",Criterios!A8,1))),(J19-Y19+K19)/(F19-K19),(I19-Y19+K19)/(F19-K19))</f>
        <v>-4.609435421500387</v>
      </c>
      <c r="AR19" s="834">
        <f>IF(ISNUMBER((Datos!P19-Datos!Q19+O19)/(Datos!R19-Datos!P19+Datos!Q19-O19)),(Datos!P19-Datos!Q19+O19)/(Datos!R19-Datos!P19+Datos!Q19-O19)," - ")</f>
        <v>3.4589749482877498E-2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1063.2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1369.4748385177923</v>
      </c>
      <c r="G21" s="552">
        <f>IF(ISNUMBER(STDEV(G8:G18)),STDEV(G8:G18),"-")</f>
        <v>1284.4014948605441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1581.1691650710334</v>
      </c>
      <c r="AK21" s="252"/>
      <c r="AL21" s="252">
        <f>IF(ISNUMBER(STDEV(AL8:AL18)),STDEV(AL8:AL18),"-")</f>
        <v>0</v>
      </c>
      <c r="AM21" s="254">
        <f>IF(ISNUMBER(STDEV(AM8:AM18)),STDEV(AM8:AM18),"-")</f>
        <v>0</v>
      </c>
      <c r="AN21" s="539">
        <f>IF(ISNUMBER(STDEV(AN8:AN18)),STDEV(AN8:AN18),"-")</f>
        <v>0</v>
      </c>
      <c r="AO21" s="540">
        <f>IF(ISNUMBER(STDEV(AO8:AO18)),STDEV(AO8:AO18),"-")</f>
        <v>3.1734773689076294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xU5D9uVPY593mHSnCa75F+uI8gBTONwUYkmJVy83DhzdXTx/r6sCYI260iat4/cAi98NK4SgieJePEvS4z1NA==" saltValue="vrCAvg/s1Zt/uxsCNrWP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B/tbEpnhUdtS0EmbM+lZhBMmoS7gVrgKRyWDtXxT4hLUZALhvZeZH4MTuVT7RqbMD3xm/Q+hS81ANag7sRNmOA==" saltValue="8/2ZT2QGLkRIljn8cPzZO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WXUI94icsQGg3PCb+i3de0KQKXTcA21nf1OCUuuuyNhHkSJ2aRodjCMmDl1w4WOANi9GfvmKpYixfbZUTVLpw==" saltValue="IMxaS91OxJR/QiGZK/kJJ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BADAJOZ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0.27475114339521117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0.19427839663351135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xfvUJFJ9pbj+2ddPIvjRy8AnEJnBdrPH/pWEqA9b7AYT8KGY3Gp3pOweEqd+NXc3cBiUjcFGf53XI19+4QGtA==" saltValue="6VzAY0Zeo4h+EW53Tj4k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s1c32618AT2kiCVmSMwJjlN+F6VhLxnq+YILB7+Vs3+10yFYsDHEghSLrn7JKSwZ4J+e0Pi7PS4TKUyaZuKzlQ==" saltValue="RezF2Z+uyDT5cGvpEFJy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BADAJOZ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1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242</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107</v>
      </c>
      <c r="G10" s="684">
        <f>IF(ISNUMBER(Datos!I10),Datos!I10," - ")</f>
        <v>107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117</v>
      </c>
      <c r="AC10" s="683" t="str">
        <f>IF(ISNUMBER(IF(D_I="SI",DatosP!K17,DatosP!K17+DatosP!AE17)),IF(D_I="SI",DatosP!K17,DatosP!K17+DatosP!AE17)," - ")</f>
        <v xml:space="preserve"> - </v>
      </c>
      <c r="AD10" s="685"/>
      <c r="AE10" s="685"/>
      <c r="AF10" s="688">
        <f>IF(ISNUMBER(Datos!L10),Datos!L10,"-")</f>
        <v>125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41</v>
      </c>
      <c r="AM10" s="690">
        <f>IF(ISNUMBER(Datos!N10+DatosP!N17),Datos!N10+DatosP!N17," - ")</f>
        <v>39</v>
      </c>
      <c r="AN10" s="690">
        <f>IF(ISNUMBER(Datos!BW10+DatosP!BW17),Datos!BW10+DatosP!BW17," - ")</f>
        <v>0</v>
      </c>
      <c r="AO10" s="691">
        <f>IF(ISNUMBER(Datos!BX10+DatosP!BX17),Datos!BX10+DatosP!BX17," - ")</f>
        <v>0</v>
      </c>
      <c r="AP10" s="693">
        <f>IF(ISNUMBER(((Datos!L10/Datos!K10)*11)/factor_trimestre),((Datos!L10/Datos!K10)*11)/factor_trimestre," - ")</f>
        <v>11.752136752136751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-0.17241379310344829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107</v>
      </c>
      <c r="G13" s="938">
        <f t="shared" si="0"/>
        <v>107</v>
      </c>
      <c r="H13" s="938">
        <f t="shared" si="0"/>
        <v>0</v>
      </c>
      <c r="I13" s="940">
        <f t="shared" si="0"/>
        <v>0</v>
      </c>
      <c r="J13" s="939">
        <f t="shared" si="0"/>
        <v>0</v>
      </c>
      <c r="K13" s="939">
        <f t="shared" si="0"/>
        <v>0</v>
      </c>
      <c r="L13" s="941">
        <f t="shared" si="0"/>
        <v>0</v>
      </c>
      <c r="M13" s="941">
        <f t="shared" si="0"/>
        <v>0</v>
      </c>
      <c r="N13" s="939">
        <f t="shared" si="0"/>
        <v>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117</v>
      </c>
      <c r="AC13" s="939">
        <f t="shared" si="1"/>
        <v>0</v>
      </c>
      <c r="AD13" s="939">
        <f t="shared" si="1"/>
        <v>7</v>
      </c>
      <c r="AE13" s="939">
        <f t="shared" si="1"/>
        <v>0</v>
      </c>
      <c r="AF13" s="939">
        <f t="shared" si="1"/>
        <v>125</v>
      </c>
      <c r="AG13" s="939">
        <f t="shared" si="1"/>
        <v>0</v>
      </c>
      <c r="AH13" s="939">
        <f t="shared" si="1"/>
        <v>24</v>
      </c>
      <c r="AI13" s="939">
        <f t="shared" si="1"/>
        <v>0</v>
      </c>
      <c r="AJ13" s="939">
        <f t="shared" si="1"/>
        <v>0</v>
      </c>
      <c r="AK13" s="939">
        <f t="shared" si="1"/>
        <v>0</v>
      </c>
      <c r="AL13" s="939">
        <f t="shared" si="1"/>
        <v>41</v>
      </c>
      <c r="AM13" s="939">
        <f t="shared" si="1"/>
        <v>39</v>
      </c>
      <c r="AN13" s="939">
        <f t="shared" si="1"/>
        <v>0</v>
      </c>
      <c r="AO13" s="939">
        <f t="shared" si="1"/>
        <v>0</v>
      </c>
      <c r="AP13" s="944">
        <f>IF(ISNUMBER(((Datos!L13/Datos!K13)*11)/factor_trimestre),((Datos!L13/Datos!K13)*11)/factor_trimestre," - ")</f>
        <v>5.7664038299070688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-1.0934579439252337</v>
      </c>
      <c r="AU13" s="939" t="str">
        <f>IF(ISNUMBER((DatosP!#REF!-DatosP!#REF!+DatosP!#REF!)/(DatosP!#REF!+DatosP!#REF!-DatosP!#REF!-DatosP!#REF!)),(DatosP!#REF!-DatosP!#REF!+DatosP!#REF!)/(DatosP!#REF!+DatosP!#REF!-DatosP!#REF!-DatosP!#REF!)," - ")</f>
        <v xml:space="preserve"> - </v>
      </c>
      <c r="AV13" s="945">
        <f>SUBTOTAL(9,AV9:AV12)</f>
        <v>-0.17241379310344829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2.273066169617894</v>
      </c>
      <c r="AQ18" s="944">
        <f>IF(ISNUMBER(((Datos!M18/Datos!L18)*11)/factor_trimestre),((Datos!M18/Datos!L18)*11)/factor_trimestre," - ")</f>
        <v>6.2328823288232877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-0.18181818181818182</v>
      </c>
      <c r="AW18" s="946">
        <f>IF(ISNUMBER((Datos!Q18-Datos!R18)/(Datos!S18-Datos!Q18+Datos!R18)),(Datos!Q18-Datos!R18)/(Datos!S18-Datos!Q18+Datos!R18)," - ")</f>
        <v>0.32887975334018499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107</v>
      </c>
      <c r="G19" s="951">
        <f t="shared" si="4"/>
        <v>107</v>
      </c>
      <c r="H19" s="951">
        <f t="shared" si="4"/>
        <v>0</v>
      </c>
      <c r="I19" s="952">
        <f t="shared" si="4"/>
        <v>0</v>
      </c>
      <c r="J19" s="953">
        <f t="shared" si="4"/>
        <v>0</v>
      </c>
      <c r="K19" s="953">
        <f t="shared" si="4"/>
        <v>0</v>
      </c>
      <c r="L19" s="953">
        <f t="shared" si="4"/>
        <v>0</v>
      </c>
      <c r="M19" s="953">
        <f t="shared" si="4"/>
        <v>0</v>
      </c>
      <c r="N19" s="952">
        <f t="shared" si="4"/>
        <v>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117</v>
      </c>
      <c r="AC19" s="957">
        <f t="shared" si="5"/>
        <v>0</v>
      </c>
      <c r="AD19" s="957">
        <f t="shared" si="5"/>
        <v>7</v>
      </c>
      <c r="AE19" s="957">
        <f t="shared" si="5"/>
        <v>0</v>
      </c>
      <c r="AF19" s="958">
        <f t="shared" si="5"/>
        <v>125</v>
      </c>
      <c r="AG19" s="958">
        <f t="shared" si="5"/>
        <v>0</v>
      </c>
      <c r="AH19" s="958">
        <f t="shared" si="5"/>
        <v>24</v>
      </c>
      <c r="AI19" s="958">
        <f t="shared" si="5"/>
        <v>0</v>
      </c>
      <c r="AJ19" s="959">
        <f t="shared" si="5"/>
        <v>0</v>
      </c>
      <c r="AK19" s="959">
        <f t="shared" si="5"/>
        <v>0</v>
      </c>
      <c r="AL19" s="951">
        <f t="shared" si="5"/>
        <v>41</v>
      </c>
      <c r="AM19" s="951">
        <f t="shared" si="5"/>
        <v>39</v>
      </c>
      <c r="AN19" s="951">
        <f t="shared" si="5"/>
        <v>0</v>
      </c>
      <c r="AO19" s="951">
        <f t="shared" si="5"/>
        <v>0</v>
      </c>
      <c r="AP19" s="951">
        <f>IF(ISNUMBER(((Datos!L19/Datos!K19)*11)/factor_trimestre),((Datos!L19/Datos!K19)*11)/factor_trimestre," - ")</f>
        <v>4.1809897335332797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-1.0934579439252337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3.4589749482877498E-2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3.9496835316262997</v>
      </c>
      <c r="F21" s="736">
        <f>IF(ISNUMBER(STDEV(F8:F18)),STDEV(F8:F18),"-")</f>
        <v>61.776478803289955</v>
      </c>
      <c r="G21" s="737">
        <f>IF(ISNUMBER(STDEV(G8:G18)),STDEV(G8:G18),"-")</f>
        <v>61.776478803289955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67.549981495186216</v>
      </c>
      <c r="AC21" s="738">
        <f>IF(ISNUMBER(STDEV(AC8:AC18)),STDEV(AC8:AC18),"-")</f>
        <v>0</v>
      </c>
      <c r="AD21" s="741"/>
      <c r="AE21" s="741"/>
      <c r="AF21" s="741"/>
      <c r="AG21" s="741"/>
      <c r="AH21" s="741"/>
      <c r="AI21" s="741"/>
      <c r="AJ21" s="742">
        <f>IF(ISNUMBER(STDEV(AJ8:AJ18)),STDEV(AJ8:AJ18),"-")</f>
        <v>0</v>
      </c>
      <c r="AK21" s="744"/>
      <c r="AL21" s="736">
        <f>IF(ISNUMBER(STDEV(AL8:AL18)),STDEV(AL8:AL18),"-")</f>
        <v>23.671361036774655</v>
      </c>
      <c r="AM21" s="736"/>
      <c r="AN21" s="736">
        <f>IF(ISNUMBER(STDEV(AN8:AN18)),STDEV(AN8:AN18),"-")</f>
        <v>0</v>
      </c>
      <c r="AO21" s="742">
        <f>IF(ISNUMBER(STDEV(AO8:AO18)),STDEV(AO8:AO18),"-")</f>
        <v>0</v>
      </c>
      <c r="AP21" s="779">
        <f>IF(ISNUMBER(STDEV(AP8:AP18)),STDEV(AP8:AP18),"-")</f>
        <v>3.952409314235918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Bua8Je/NMFvL+pEnkq7lPV9IFkxHlRI2PPX59RLQ7vO5tbKDAb3ddiXVDAHMwFZQKjuGI1Uv+DmiIj3maj8Ug==" saltValue="q/86bAQZj1EL2H4/aO9j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